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Jours de stock" sheetId="2" state="visible" r:id="rId2"/>
    <sheet name="Stock dormant" sheetId="3" state="visible" r:id="rId3"/>
    <sheet name="Hausse fournisseur" sheetId="4" state="visible" r:id="rId4"/>
    <sheet name="Marge par point de ve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3">
    <numFmt numFmtId="164" formatCode="0&quot; j&quot;"/>
    <numFmt numFmtId="165" formatCode="#,##0 &quot;€&quot;;-#,##0 &quot;€&quot;;&quot;-&quot;"/>
    <numFmt numFmtId="166" formatCode="0.0&quot; j&quot;;-0.0&quot; j&quot;;&quot;-&quot;"/>
    <numFmt numFmtId="167" formatCode="0.0%;-0.0%;&quot;-&quot;"/>
    <numFmt numFmtId="168" formatCode="0.0&quot; j&quot;"/>
    <numFmt numFmtId="169" formatCode="&quot;−&quot;0&quot; jours&quot;"/>
    <numFmt numFmtId="170" formatCode="yyyy-mm-dd h:mm:ss"/>
    <numFmt numFmtId="171" formatCode="dd/mm/yyyy"/>
    <numFmt numFmtId="172" formatCode="0&quot; mois&quot;"/>
    <numFmt numFmtId="173" formatCode="#,##0;-#,##0;&quot;-&quot;"/>
    <numFmt numFmtId="174" formatCode="#,##0.00 &quot;€&quot;"/>
    <numFmt numFmtId="175" formatCode="+0.0&quot; pt&quot;;-0.0&quot; pt&quot;;0.0&quot; pt&quot;"/>
    <numFmt numFmtId="176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12181C"/>
      <sz val="14"/>
    </font>
    <font>
      <name val="Arial"/>
      <i val="1"/>
      <color rgb="00555555"/>
      <sz val="10"/>
    </font>
    <font>
      <name val="Arial"/>
      <b val="1"/>
      <color rgb="00B0532C"/>
      <sz val="11"/>
    </font>
    <font>
      <name val="Arial"/>
      <color rgb="0012181C"/>
      <sz val="10"/>
    </font>
    <font>
      <name val="Arial"/>
      <b val="1"/>
      <color rgb="0012181C"/>
      <sz val="10"/>
    </font>
    <font>
      <name val="Arial"/>
      <i val="1"/>
      <color rgb="00777777"/>
      <sz val="9"/>
    </font>
    <font>
      <name val="Arial"/>
      <b val="1"/>
      <color rgb="00B0532C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6EDE8"/>
      </patternFill>
    </fill>
    <fill>
      <patternFill patternType="solid">
        <fgColor rgb="00B0532C"/>
      </patternFill>
    </fill>
  </fills>
  <borders count="5">
    <border>
      <left/>
      <right/>
      <top/>
      <bottom/>
      <diagonal/>
    </border>
    <border>
      <left style="thin">
        <color rgb="00D0C4BC"/>
      </left>
      <right style="thin">
        <color rgb="00D0C4BC"/>
      </right>
      <top style="thin">
        <color rgb="00D0C4BC"/>
      </top>
      <bottom style="thin">
        <color rgb="00D0C4BC"/>
      </bottom>
    </border>
    <border>
      <left/>
      <right/>
      <top style="thin">
        <color rgb="00D0C4BC"/>
      </top>
      <bottom/>
      <diagonal/>
    </border>
    <border>
      <left/>
      <right style="thin">
        <color rgb="00D0C4BC"/>
      </right>
      <top style="thin">
        <color rgb="00D0C4BC"/>
      </top>
      <bottom/>
      <diagonal/>
    </border>
    <border>
      <left/>
      <right style="thin">
        <color rgb="00D0C4BC"/>
      </right>
      <top style="thin">
        <color rgb="00D0C4BC"/>
      </top>
      <bottom style="thin">
        <color rgb="00D0C4BC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center" wrapText="1"/>
    </xf>
    <xf numFmtId="1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165" fontId="5" fillId="3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4" fillId="2" borderId="1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166" fontId="5" fillId="3" borderId="1" pivotButton="0" quotePrefix="0" xfId="0"/>
    <xf numFmtId="167" fontId="5" fillId="3" borderId="1" pivotButton="0" quotePrefix="0" xfId="0"/>
    <xf numFmtId="1" fontId="5" fillId="3" borderId="1" pivotButton="0" quotePrefix="0" xfId="0"/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vertical="center" wrapText="1"/>
    </xf>
    <xf numFmtId="0" fontId="0" fillId="3" borderId="1" pivotButton="0" quotePrefix="0" xfId="0"/>
    <xf numFmtId="169" fontId="5" fillId="0" borderId="1" applyAlignment="1" pivotButton="0" quotePrefix="0" xfId="0">
      <alignment horizontal="left"/>
    </xf>
    <xf numFmtId="171" fontId="4" fillId="2" borderId="1" applyProtection="1" pivotButton="0" quotePrefix="0" xfId="0">
      <protection locked="0" hidden="0"/>
    </xf>
    <xf numFmtId="172" fontId="4" fillId="2" borderId="1" applyProtection="1" pivotButton="0" quotePrefix="0" xfId="0">
      <protection locked="0" hidden="0"/>
    </xf>
    <xf numFmtId="173" fontId="4" fillId="2" borderId="1" applyProtection="1" pivotButton="0" quotePrefix="0" xfId="0">
      <protection locked="0" hidden="0"/>
    </xf>
    <xf numFmtId="174" fontId="4" fillId="2" borderId="1" applyProtection="1" pivotButton="0" quotePrefix="0" xfId="0">
      <protection locked="0" hidden="0"/>
    </xf>
    <xf numFmtId="0" fontId="5" fillId="3" borderId="1" pivotButton="0" quotePrefix="0" xfId="0"/>
    <xf numFmtId="0" fontId="4" fillId="0" borderId="1" pivotButton="0" quotePrefix="0" xfId="0"/>
    <xf numFmtId="0" fontId="0" fillId="0" borderId="4" applyProtection="1" pivotButton="0" quotePrefix="0" xfId="0">
      <protection locked="0" hidden="0"/>
    </xf>
    <xf numFmtId="167" fontId="4" fillId="2" borderId="1" applyProtection="1" pivotButton="0" quotePrefix="0" xfId="0">
      <protection locked="0" hidden="0"/>
    </xf>
    <xf numFmtId="9" fontId="4" fillId="2" borderId="1" applyProtection="1" pivotButton="0" quotePrefix="0" xfId="0">
      <protection locked="0" hidden="0"/>
    </xf>
    <xf numFmtId="0" fontId="4" fillId="0" borderId="0" applyAlignment="1" pivotButton="0" quotePrefix="0" xfId="0">
      <alignment vertical="center" wrapText="1"/>
    </xf>
    <xf numFmtId="175" fontId="5" fillId="3" borderId="1" pivotButton="0" quotePrefix="0" xfId="0"/>
    <xf numFmtId="176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FG Conseils PME</author>
  </authors>
  <commentList>
    <comment ref="C6" authorId="0" shapeId="0">
      <text>
        <t>Saisissez la date de votre inventaire ou de votre export de stock. Vous pouvez aussi écrire =AUJOURDHUI().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4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2">
      <c r="B2" s="1" t="inlineStr">
        <is>
          <t>STOCK ET TRÉSORERIE DU NÉGOCE : MODE D'EMPLOI</t>
        </is>
      </c>
    </row>
    <row r="3">
      <c r="B3" s="2" t="inlineStr">
        <is>
          <t>Outil gratuit de FG Conseils PME, sans macro. Version du 5 novembre 2026.</t>
        </is>
      </c>
    </row>
    <row r="5">
      <c r="B5" s="3" t="inlineStr">
        <is>
          <t>À QUOI SERT CET OUTIL</t>
        </is>
      </c>
    </row>
    <row r="6">
      <c r="B6" s="4" t="inlineStr">
        <is>
          <t>Mesurer vos jours de stock famille par famille, chiffrer la trésorerie que libère un stock plus court,</t>
        </is>
      </c>
    </row>
    <row r="7">
      <c r="B7" s="4" t="inlineStr">
        <is>
          <t>repérer le stock qui dort, simuler une hausse fournisseur et comparer la marge de vos points de vente.</t>
        </is>
      </c>
    </row>
    <row r="8">
      <c r="B8" s="4" t="n"/>
    </row>
    <row r="9">
      <c r="B9" s="3" t="inlineStr">
        <is>
          <t>CODE COULEUR</t>
        </is>
      </c>
    </row>
    <row r="10">
      <c r="B10" s="5" t="inlineStr">
        <is>
          <t>Cellules JAUNES : à remplir avec vos chiffres (elles contiennent un exemple fictif à remplacer).</t>
        </is>
      </c>
    </row>
    <row r="11">
      <c r="B11" s="6" t="inlineStr">
        <is>
          <t>Cellules EN GRAS sur fond rosé : calculées par formule. Elles sont protégées pour éviter de les effacer.</t>
        </is>
      </c>
    </row>
    <row r="12">
      <c r="B12" s="4" t="inlineStr">
        <is>
          <t>Les onglets sont protégés sans mot de passe : Révision &gt; Ôter la protection de la feuille, si besoin.</t>
        </is>
      </c>
    </row>
    <row r="13">
      <c r="B13" s="4" t="n"/>
    </row>
    <row r="14">
      <c r="B14" s="3" t="inlineStr">
        <is>
          <t>LES 4 ONGLETS</t>
        </is>
      </c>
    </row>
    <row r="15">
      <c r="B15" s="4" t="inlineStr">
        <is>
          <t>1. Jours de stock : jusqu'à 15 familles de produits. Saisissez pour chacune le chiffre d'affaires HT annuel,</t>
        </is>
      </c>
    </row>
    <row r="16">
      <c r="B16" s="4" t="inlineStr">
        <is>
          <t xml:space="preserve">   le coût d'achat des marchandises vendues et le stock moyen au coût d'achat. L'outil calcule les jours de stock,</t>
        </is>
      </c>
    </row>
    <row r="17">
      <c r="B17" s="4" t="inlineStr">
        <is>
          <t xml:space="preserve">   la marge commerciale, le rang (1 = la famille dont le stock tourne le plus lentement) et la trésorerie libérée</t>
        </is>
      </c>
    </row>
    <row r="18">
      <c r="B18" s="4" t="inlineStr">
        <is>
          <t xml:space="preserve">   si vous gagnez X jours de stock (10 par défaut, ou un nombre différent par famille).</t>
        </is>
      </c>
    </row>
    <row r="19">
      <c r="B19" s="4" t="inlineStr">
        <is>
          <t>2. Stock dormant : jusqu'à 100 articles. Saisissez la date du dernier mouvement, la quantité et le coût unitaire.</t>
        </is>
      </c>
    </row>
    <row r="20">
      <c r="B20" s="4" t="inlineStr">
        <is>
          <t xml:space="preserve">   L'outil calcule la valeur et le nombre de mois sans mouvement, puis totalise le stock qui dort, par famille.</t>
        </is>
      </c>
    </row>
    <row r="21">
      <c r="B21" s="4" t="inlineStr">
        <is>
          <t>3. Hausse fournisseur : choisissez une famille, la hausse en % et la part que vous répercutez sur vos prix.</t>
        </is>
      </c>
    </row>
    <row r="22">
      <c r="B22" s="4" t="inlineStr">
        <is>
          <t xml:space="preserve">   L'outil donne la nouvelle marge en euros et en points, comparée à quatre scénarios.</t>
        </is>
      </c>
    </row>
    <row r="23">
      <c r="B23" s="4" t="inlineStr">
        <is>
          <t>4. Marge par point de vente : jusqu'à 10 magasins, agences ou dépôts. Marge commerciale, charges directes,</t>
        </is>
      </c>
    </row>
    <row r="24">
      <c r="B24" s="4" t="inlineStr">
        <is>
          <t xml:space="preserve">   contribution de chaque point de vente, quote-part des frais centraux et jours de stock.</t>
        </is>
      </c>
    </row>
    <row r="25">
      <c r="B25" s="4" t="n"/>
    </row>
    <row r="26">
      <c r="B26" s="3" t="inlineStr">
        <is>
          <t>LES FORMULES</t>
        </is>
      </c>
    </row>
    <row r="27">
      <c r="B27" s="4" t="inlineStr">
        <is>
          <t>Jours de stock = stock moyen au coût d'achat ÷ coût d'achat des marchandises vendues × 365 (ou 360).</t>
        </is>
      </c>
    </row>
    <row r="28">
      <c r="B28" s="4" t="inlineStr">
        <is>
          <t>Stock moyen = (stock de début + stock de fin) ÷ 2, ou mieux la moyenne de vos stocks de fin de mois, au coût d'achat.</t>
        </is>
      </c>
    </row>
    <row r="29">
      <c r="B29" s="4" t="inlineStr">
        <is>
          <t>Trésorerie libérée = coût d'achat des marchandises vendues ÷ 365 × nombre de jours de stock gagnés.</t>
        </is>
      </c>
    </row>
    <row r="30">
      <c r="B30" s="4" t="inlineStr">
        <is>
          <t>Marge commerciale = chiffre d'affaires HT − coût d'achat des marchandises vendues ; taux de marge = marge ÷ CA HT.</t>
        </is>
      </c>
    </row>
    <row r="31">
      <c r="B31" s="4" t="inlineStr">
        <is>
          <t>Convention : 365 jours par défaut. Choisissez 360 dans l'onglet « Jours de stock » si c'est votre habitude ;</t>
        </is>
      </c>
    </row>
    <row r="32">
      <c r="B32" s="4" t="inlineStr">
        <is>
          <t>gardez la même convention d'une année sur l'autre pour comparer.</t>
        </is>
      </c>
    </row>
    <row r="33">
      <c r="B33" s="4" t="n"/>
    </row>
    <row r="34">
      <c r="B34" s="3" t="inlineStr">
        <is>
          <t>À SAVOIR</t>
        </is>
      </c>
    </row>
    <row r="35">
      <c r="B35" s="4" t="inlineStr">
        <is>
          <t>Tout est en euros HT et sur 12 mois. Utilisez le coût d'achat, jamais le prix de vente, pour le stock comme pour les achats.</t>
        </is>
      </c>
    </row>
    <row r="36">
      <c r="B36" s="4" t="inlineStr">
        <is>
          <t>L'onglet « Hausse fournisseur » suppose des volumes de vente inchangés : c'est une simulation, pas une prévision.</t>
        </is>
      </c>
    </row>
    <row r="37">
      <c r="B37" s="4" t="inlineStr">
        <is>
          <t>La valorisation et la dépréciation du stock dans vos comptes relèvent de votre expert-comptable : cet outil sert au pilotage.</t>
        </is>
      </c>
    </row>
    <row r="38">
      <c r="B38" s="4" t="inlineStr">
        <is>
          <t>Les chiffres déjà saisis sont un EXEMPLE FICTIF, construit pour l'illustration. Ce n'est pas un cas client.</t>
        </is>
      </c>
    </row>
    <row r="39">
      <c r="B39" s="4" t="n"/>
    </row>
    <row r="40">
      <c r="B40" s="3" t="inlineStr">
        <is>
          <t>POUR ALLER PLUS LOIN</t>
        </is>
      </c>
    </row>
    <row r="41">
      <c r="B41" s="4" t="inlineStr">
        <is>
          <t>Notre équipe de DAF à temps partagé suit chaque mois ces chiffres avec vous : marge par famille et par point de vente,</t>
        </is>
      </c>
    </row>
    <row r="42">
      <c r="B42" s="4" t="inlineStr">
        <is>
          <t>stock, trésorerie à 90 jours. Audit flash de 30 minutes offert : www.fgconseilspme.fr/rendez-vous</t>
        </is>
      </c>
    </row>
    <row r="44">
      <c r="B44" s="7" t="inlineStr">
        <is>
          <t>FG Conseils PME, www.fgconseilspme.fr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fitToHeight="0" fitToWidth="1"/>
  <headerFooter>
    <oddHeader/>
    <oddFooter>&amp;C&amp;"Arial"&amp;9 FG Conseils PME, www.fgconseilspme.fr</oddFooter>
    <evenHeader/>
    <evenFooter>&amp;CFG Conseils PME, www.fgconseilspme.fr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L40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5" customWidth="1" min="3" max="3"/>
    <col width="17" customWidth="1" min="4" max="4"/>
    <col width="17" customWidth="1" min="5" max="5"/>
    <col width="12" customWidth="1" min="6" max="6"/>
    <col width="15" customWidth="1" min="7" max="7"/>
    <col width="11" customWidth="1" min="8" max="8"/>
    <col width="12" customWidth="1" min="9" max="9"/>
    <col width="13" customWidth="1" min="10" max="10"/>
    <col width="13" customWidth="1" min="11" max="11"/>
    <col width="16" customWidth="1" min="12" max="12"/>
  </cols>
  <sheetData>
    <row r="2">
      <c r="B2" s="1" t="inlineStr">
        <is>
          <t>JOURS DE STOCK PAR FAMILLE ET TRÉSORERIE LIBÉRÉE</t>
        </is>
      </c>
    </row>
    <row r="3">
      <c r="B3" s="2" t="inlineStr">
        <is>
          <t>Montants annuels HT. Stock moyen valorisé au coût d'achat.</t>
        </is>
      </c>
    </row>
    <row r="4">
      <c r="B4" s="8" t="inlineStr">
        <is>
          <t>EXEMPLE FICTIF déjà rempli (un négoce de 2,4 M€ de chiffre d'affaires) : remplacez les cellules jaunes par vos propres chiffres.</t>
        </is>
      </c>
    </row>
    <row r="6">
      <c r="B6" s="9" t="inlineStr">
        <is>
          <t>Convention de jours (365 ou 360)</t>
        </is>
      </c>
      <c r="C6" s="10" t="n">
        <v>365</v>
      </c>
    </row>
    <row r="7">
      <c r="B7" s="9" t="inlineStr">
        <is>
          <t>Jours de stock à gagner (simulation « −X jours »)</t>
        </is>
      </c>
      <c r="C7" s="11" t="n">
        <v>10</v>
      </c>
    </row>
    <row r="8">
      <c r="B8" s="9" t="inlineStr">
        <is>
          <t>Trésorerie immobilisée par jour de stock</t>
        </is>
      </c>
      <c r="C8" s="12">
        <f>IF($C$6=0,0,D26/$C$6)</f>
        <v>4734.246575342466</v>
      </c>
    </row>
    <row r="10" ht="45" customHeight="1">
      <c r="B10" s="13" t="inlineStr">
        <is>
          <t>Famille de produits</t>
        </is>
      </c>
      <c r="C10" s="13" t="inlineStr">
        <is>
          <t>CA HT annuel</t>
        </is>
      </c>
      <c r="D10" s="13" t="inlineStr">
        <is>
          <t>Coût d'achat des ventes</t>
        </is>
      </c>
      <c r="E10" s="13" t="inlineStr">
        <is>
          <t>Stock moyen au coût d'achat</t>
        </is>
      </c>
      <c r="F10" s="13" t="inlineStr">
        <is>
          <t>Jours de stock</t>
        </is>
      </c>
      <c r="G10" s="13" t="inlineStr">
        <is>
          <t>Marge commerciale</t>
        </is>
      </c>
      <c r="H10" s="13" t="inlineStr">
        <is>
          <t>Taux de marge</t>
        </is>
      </c>
      <c r="I10" s="13" t="inlineStr">
        <is>
          <t>Rang (1 = le plus lent)</t>
        </is>
      </c>
      <c r="J10" s="13" t="inlineStr">
        <is>
          <t>Jours gagnés (vide = X)</t>
        </is>
      </c>
      <c r="K10" s="13" t="inlineStr">
        <is>
          <t>Jours de stock cible</t>
        </is>
      </c>
      <c r="L10" s="13" t="inlineStr">
        <is>
          <t>Trésorerie libérée</t>
        </is>
      </c>
    </row>
    <row r="11">
      <c r="B11" s="14" t="inlineStr">
        <is>
          <t>Sanitaire</t>
        </is>
      </c>
      <c r="C11" s="15" t="n">
        <v>720000</v>
      </c>
      <c r="D11" s="15" t="n">
        <v>504000</v>
      </c>
      <c r="E11" s="15" t="n">
        <v>72000</v>
      </c>
      <c r="F11" s="16">
        <f>IF(OR(D11="",D11=0,E11=""),"",E11/D11*$C$6)</f>
        <v>52.14285714285714</v>
      </c>
      <c r="G11" s="12">
        <f>IF(OR(C11="",D11=""),"",C11-D11)</f>
        <v>216000.0</v>
      </c>
      <c r="H11" s="17">
        <f>IF(OR(C11="",C11=0,D11=""),"",G11/C11)</f>
        <v>0.3</v>
      </c>
      <c r="I11" s="18">
        <f>IF(F11="","",RANK(F11,$F$11:$F$25,0))</f>
        <v>5.0</v>
      </c>
      <c r="J11" s="19" t="n"/>
      <c r="K11" s="16">
        <f>IF(F11="","",MAX(F11-IF(J11="",$C$7,J11),0))</f>
        <v>42.14285714285714</v>
      </c>
      <c r="L11" s="12">
        <f>IF(F11="","",E11-D11*K11/$C$6)</f>
        <v>13808.219178082203</v>
      </c>
    </row>
    <row r="12">
      <c r="B12" s="14" t="inlineStr">
        <is>
          <t>Chauffage</t>
        </is>
      </c>
      <c r="C12" s="15" t="n">
        <v>600000</v>
      </c>
      <c r="D12" s="15" t="n">
        <v>444000</v>
      </c>
      <c r="E12" s="15" t="n">
        <v>96000</v>
      </c>
      <c r="F12" s="16">
        <f>IF(OR(D12="",D12=0,E12=""),"",E12/D12*$C$6)</f>
        <v>78.91891891891892</v>
      </c>
      <c r="G12" s="12">
        <f>IF(OR(C12="",D12=""),"",C12-D12)</f>
        <v>156000.0</v>
      </c>
      <c r="H12" s="17">
        <f>IF(OR(C12="",C12=0,D12=""),"",G12/C12)</f>
        <v>0.26</v>
      </c>
      <c r="I12" s="18">
        <f>IF(F12="","",RANK(F12,$F$11:$F$25,0))</f>
        <v>3.0</v>
      </c>
      <c r="J12" s="19" t="n"/>
      <c r="K12" s="16">
        <f>IF(F12="","",MAX(F12-IF(J12="",$C$7,J12),0))</f>
        <v>68.91891891891892</v>
      </c>
      <c r="L12" s="12">
        <f>IF(F12="","",E12-D12*K12/$C$6)</f>
        <v>12164.38356164383</v>
      </c>
    </row>
    <row r="13">
      <c r="B13" s="14" t="inlineStr">
        <is>
          <t>Outillage</t>
        </is>
      </c>
      <c r="C13" s="15" t="n">
        <v>360000</v>
      </c>
      <c r="D13" s="15" t="n">
        <v>252000</v>
      </c>
      <c r="E13" s="15" t="n">
        <v>62000</v>
      </c>
      <c r="F13" s="16">
        <f>IF(OR(D13="",D13=0,E13=""),"",E13/D13*$C$6)</f>
        <v>89.80158730158729</v>
      </c>
      <c r="G13" s="12">
        <f>IF(OR(C13="",D13=""),"",C13-D13)</f>
        <v>108000.0</v>
      </c>
      <c r="H13" s="17">
        <f>IF(OR(C13="",C13=0,D13=""),"",G13/C13)</f>
        <v>0.3</v>
      </c>
      <c r="I13" s="18">
        <f>IF(F13="","",RANK(F13,$F$11:$F$25,0))</f>
        <v>2.0</v>
      </c>
      <c r="J13" s="19" t="n"/>
      <c r="K13" s="16">
        <f>IF(F13="","",MAX(F13-IF(J13="",$C$7,J13),0))</f>
        <v>79.80158730158729</v>
      </c>
      <c r="L13" s="12">
        <f>IF(F13="","",E13-D13*K13/$C$6)</f>
        <v>6904.109589041109</v>
      </c>
    </row>
    <row r="14">
      <c r="B14" s="14" t="inlineStr">
        <is>
          <t>Quincaillerie</t>
        </is>
      </c>
      <c r="C14" s="15" t="n">
        <v>300000</v>
      </c>
      <c r="D14" s="15" t="n">
        <v>210000</v>
      </c>
      <c r="E14" s="15" t="n">
        <v>38000</v>
      </c>
      <c r="F14" s="16">
        <f>IF(OR(D14="",D14=0,E14=""),"",E14/D14*$C$6)</f>
        <v>66.04761904761905</v>
      </c>
      <c r="G14" s="12">
        <f>IF(OR(C14="",D14=""),"",C14-D14)</f>
        <v>90000.0</v>
      </c>
      <c r="H14" s="17">
        <f>IF(OR(C14="",C14=0,D14=""),"",G14/C14)</f>
        <v>0.3</v>
      </c>
      <c r="I14" s="18">
        <f>IF(F14="","",RANK(F14,$F$11:$F$25,0))</f>
        <v>4.0</v>
      </c>
      <c r="J14" s="19" t="n"/>
      <c r="K14" s="16">
        <f>IF(F14="","",MAX(F14-IF(J14="",$C$7,J14),0))</f>
        <v>56.04761904761905</v>
      </c>
      <c r="L14" s="12">
        <f>IF(F14="","",E14-D14*K14/$C$6)</f>
        <v>5753.424657534248</v>
      </c>
    </row>
    <row r="15">
      <c r="B15" s="14" t="inlineStr">
        <is>
          <t>Consommables de chantier</t>
        </is>
      </c>
      <c r="C15" s="15" t="n">
        <v>240000</v>
      </c>
      <c r="D15" s="15" t="n">
        <v>189600</v>
      </c>
      <c r="E15" s="15" t="n">
        <v>18000</v>
      </c>
      <c r="F15" s="16">
        <f>IF(OR(D15="",D15=0,E15=""),"",E15/D15*$C$6)</f>
        <v>34.651898734177216</v>
      </c>
      <c r="G15" s="12">
        <f>IF(OR(C15="",D15=""),"",C15-D15)</f>
        <v>50400.0</v>
      </c>
      <c r="H15" s="17">
        <f>IF(OR(C15="",C15=0,D15=""),"",G15/C15)</f>
        <v>0.21</v>
      </c>
      <c r="I15" s="18">
        <f>IF(F15="","",RANK(F15,$F$11:$F$25,0))</f>
        <v>6.0</v>
      </c>
      <c r="J15" s="19" t="n"/>
      <c r="K15" s="16">
        <f>IF(F15="","",MAX(F15-IF(J15="",$C$7,J15),0))</f>
        <v>24.651898734177216</v>
      </c>
      <c r="L15" s="12">
        <f>IF(F15="","",E15-D15*K15/$C$6)</f>
        <v>5194.520547945205</v>
      </c>
    </row>
    <row r="16">
      <c r="B16" s="14" t="inlineStr">
        <is>
          <t>Pièces détachées</t>
        </is>
      </c>
      <c r="C16" s="15" t="n">
        <v>180000</v>
      </c>
      <c r="D16" s="15" t="n">
        <v>128400</v>
      </c>
      <c r="E16" s="15" t="n">
        <v>44000</v>
      </c>
      <c r="F16" s="16">
        <f>IF(OR(D16="",D16=0,E16=""),"",E16/D16*$C$6)</f>
        <v>125.07788161993768</v>
      </c>
      <c r="G16" s="12">
        <f>IF(OR(C16="",D16=""),"",C16-D16)</f>
        <v>51600.0</v>
      </c>
      <c r="H16" s="17">
        <f>IF(OR(C16="",C16=0,D16=""),"",G16/C16)</f>
        <v>0.2866666666666667</v>
      </c>
      <c r="I16" s="18">
        <f>IF(F16="","",RANK(F16,$F$11:$F$25,0))</f>
        <v>1.0</v>
      </c>
      <c r="J16" s="19" t="n"/>
      <c r="K16" s="16">
        <f>IF(F16="","",MAX(F16-IF(J16="",$C$7,J16),0))</f>
        <v>115.07788161993768</v>
      </c>
      <c r="L16" s="12">
        <f>IF(F16="","",E16-D16*K16/$C$6)</f>
        <v>3517.808219178085</v>
      </c>
    </row>
    <row r="17">
      <c r="B17" s="14" t="n"/>
      <c r="C17" s="15" t="n"/>
      <c r="D17" s="15" t="n"/>
      <c r="E17" s="15" t="n"/>
      <c r="F17" s="16" t="str">
        <f>IF(OR(D17="",D17=0,E17=""),"",E17/D17*$C$6)</f>
        <v/>
      </c>
      <c r="G17" s="12" t="str">
        <f>IF(OR(C17="",D17=""),"",C17-D17)</f>
        <v/>
      </c>
      <c r="H17" s="17" t="str">
        <f>IF(OR(C17="",C17=0,D17=""),"",G17/C17)</f>
        <v/>
      </c>
      <c r="I17" s="18" t="str">
        <f>IF(F17="","",RANK(F17,$F$11:$F$25,0))</f>
        <v/>
      </c>
      <c r="J17" s="19" t="n"/>
      <c r="K17" s="16" t="str">
        <f>IF(F17="","",MAX(F17-IF(J17="",$C$7,J17),0))</f>
        <v/>
      </c>
      <c r="L17" s="12" t="str">
        <f>IF(F17="","",E17-D17*K17/$C$6)</f>
        <v/>
      </c>
    </row>
    <row r="18">
      <c r="B18" s="14" t="n"/>
      <c r="C18" s="15" t="n"/>
      <c r="D18" s="15" t="n"/>
      <c r="E18" s="15" t="n"/>
      <c r="F18" s="16" t="str">
        <f>IF(OR(D18="",D18=0,E18=""),"",E18/D18*$C$6)</f>
        <v/>
      </c>
      <c r="G18" s="12" t="str">
        <f>IF(OR(C18="",D18=""),"",C18-D18)</f>
        <v/>
      </c>
      <c r="H18" s="17" t="str">
        <f>IF(OR(C18="",C18=0,D18=""),"",G18/C18)</f>
        <v/>
      </c>
      <c r="I18" s="18" t="str">
        <f>IF(F18="","",RANK(F18,$F$11:$F$25,0))</f>
        <v/>
      </c>
      <c r="J18" s="19" t="n"/>
      <c r="K18" s="16" t="str">
        <f>IF(F18="","",MAX(F18-IF(J18="",$C$7,J18),0))</f>
        <v/>
      </c>
      <c r="L18" s="12" t="str">
        <f>IF(F18="","",E18-D18*K18/$C$6)</f>
        <v/>
      </c>
    </row>
    <row r="19">
      <c r="B19" s="14" t="n"/>
      <c r="C19" s="15" t="n"/>
      <c r="D19" s="15" t="n"/>
      <c r="E19" s="15" t="n"/>
      <c r="F19" s="16" t="str">
        <f>IF(OR(D19="",D19=0,E19=""),"",E19/D19*$C$6)</f>
        <v/>
      </c>
      <c r="G19" s="12" t="str">
        <f>IF(OR(C19="",D19=""),"",C19-D19)</f>
        <v/>
      </c>
      <c r="H19" s="17" t="str">
        <f>IF(OR(C19="",C19=0,D19=""),"",G19/C19)</f>
        <v/>
      </c>
      <c r="I19" s="18" t="str">
        <f>IF(F19="","",RANK(F19,$F$11:$F$25,0))</f>
        <v/>
      </c>
      <c r="J19" s="19" t="n"/>
      <c r="K19" s="16" t="str">
        <f>IF(F19="","",MAX(F19-IF(J19="",$C$7,J19),0))</f>
        <v/>
      </c>
      <c r="L19" s="12" t="str">
        <f>IF(F19="","",E19-D19*K19/$C$6)</f>
        <v/>
      </c>
    </row>
    <row r="20">
      <c r="B20" s="14" t="n"/>
      <c r="C20" s="15" t="n"/>
      <c r="D20" s="15" t="n"/>
      <c r="E20" s="15" t="n"/>
      <c r="F20" s="16" t="str">
        <f>IF(OR(D20="",D20=0,E20=""),"",E20/D20*$C$6)</f>
        <v/>
      </c>
      <c r="G20" s="12" t="str">
        <f>IF(OR(C20="",D20=""),"",C20-D20)</f>
        <v/>
      </c>
      <c r="H20" s="17" t="str">
        <f>IF(OR(C20="",C20=0,D20=""),"",G20/C20)</f>
        <v/>
      </c>
      <c r="I20" s="18" t="str">
        <f>IF(F20="","",RANK(F20,$F$11:$F$25,0))</f>
        <v/>
      </c>
      <c r="J20" s="19" t="n"/>
      <c r="K20" s="16" t="str">
        <f>IF(F20="","",MAX(F20-IF(J20="",$C$7,J20),0))</f>
        <v/>
      </c>
      <c r="L20" s="12" t="str">
        <f>IF(F20="","",E20-D20*K20/$C$6)</f>
        <v/>
      </c>
    </row>
    <row r="21">
      <c r="B21" s="14" t="n"/>
      <c r="C21" s="15" t="n"/>
      <c r="D21" s="15" t="n"/>
      <c r="E21" s="15" t="n"/>
      <c r="F21" s="16" t="str">
        <f>IF(OR(D21="",D21=0,E21=""),"",E21/D21*$C$6)</f>
        <v/>
      </c>
      <c r="G21" s="12" t="str">
        <f>IF(OR(C21="",D21=""),"",C21-D21)</f>
        <v/>
      </c>
      <c r="H21" s="17" t="str">
        <f>IF(OR(C21="",C21=0,D21=""),"",G21/C21)</f>
        <v/>
      </c>
      <c r="I21" s="18" t="str">
        <f>IF(F21="","",RANK(F21,$F$11:$F$25,0))</f>
        <v/>
      </c>
      <c r="J21" s="19" t="n"/>
      <c r="K21" s="16" t="str">
        <f>IF(F21="","",MAX(F21-IF(J21="",$C$7,J21),0))</f>
        <v/>
      </c>
      <c r="L21" s="12" t="str">
        <f>IF(F21="","",E21-D21*K21/$C$6)</f>
        <v/>
      </c>
    </row>
    <row r="22">
      <c r="B22" s="14" t="n"/>
      <c r="C22" s="15" t="n"/>
      <c r="D22" s="15" t="n"/>
      <c r="E22" s="15" t="n"/>
      <c r="F22" s="16" t="str">
        <f>IF(OR(D22="",D22=0,E22=""),"",E22/D22*$C$6)</f>
        <v/>
      </c>
      <c r="G22" s="12" t="str">
        <f>IF(OR(C22="",D22=""),"",C22-D22)</f>
        <v/>
      </c>
      <c r="H22" s="17" t="str">
        <f>IF(OR(C22="",C22=0,D22=""),"",G22/C22)</f>
        <v/>
      </c>
      <c r="I22" s="18" t="str">
        <f>IF(F22="","",RANK(F22,$F$11:$F$25,0))</f>
        <v/>
      </c>
      <c r="J22" s="19" t="n"/>
      <c r="K22" s="16" t="str">
        <f>IF(F22="","",MAX(F22-IF(J22="",$C$7,J22),0))</f>
        <v/>
      </c>
      <c r="L22" s="12" t="str">
        <f>IF(F22="","",E22-D22*K22/$C$6)</f>
        <v/>
      </c>
    </row>
    <row r="23">
      <c r="B23" s="14" t="n"/>
      <c r="C23" s="15" t="n"/>
      <c r="D23" s="15" t="n"/>
      <c r="E23" s="15" t="n"/>
      <c r="F23" s="16" t="str">
        <f>IF(OR(D23="",D23=0,E23=""),"",E23/D23*$C$6)</f>
        <v/>
      </c>
      <c r="G23" s="12" t="str">
        <f>IF(OR(C23="",D23=""),"",C23-D23)</f>
        <v/>
      </c>
      <c r="H23" s="17" t="str">
        <f>IF(OR(C23="",C23=0,D23=""),"",G23/C23)</f>
        <v/>
      </c>
      <c r="I23" s="18" t="str">
        <f>IF(F23="","",RANK(F23,$F$11:$F$25,0))</f>
        <v/>
      </c>
      <c r="J23" s="19" t="n"/>
      <c r="K23" s="16" t="str">
        <f>IF(F23="","",MAX(F23-IF(J23="",$C$7,J23),0))</f>
        <v/>
      </c>
      <c r="L23" s="12" t="str">
        <f>IF(F23="","",E23-D23*K23/$C$6)</f>
        <v/>
      </c>
    </row>
    <row r="24">
      <c r="B24" s="14" t="n"/>
      <c r="C24" s="15" t="n"/>
      <c r="D24" s="15" t="n"/>
      <c r="E24" s="15" t="n"/>
      <c r="F24" s="16" t="str">
        <f>IF(OR(D24="",D24=0,E24=""),"",E24/D24*$C$6)</f>
        <v/>
      </c>
      <c r="G24" s="12" t="str">
        <f>IF(OR(C24="",D24=""),"",C24-D24)</f>
        <v/>
      </c>
      <c r="H24" s="17" t="str">
        <f>IF(OR(C24="",C24=0,D24=""),"",G24/C24)</f>
        <v/>
      </c>
      <c r="I24" s="18" t="str">
        <f>IF(F24="","",RANK(F24,$F$11:$F$25,0))</f>
        <v/>
      </c>
      <c r="J24" s="19" t="n"/>
      <c r="K24" s="16" t="str">
        <f>IF(F24="","",MAX(F24-IF(J24="",$C$7,J24),0))</f>
        <v/>
      </c>
      <c r="L24" s="12" t="str">
        <f>IF(F24="","",E24-D24*K24/$C$6)</f>
        <v/>
      </c>
    </row>
    <row r="25">
      <c r="B25" s="14" t="n"/>
      <c r="C25" s="15" t="n"/>
      <c r="D25" s="15" t="n"/>
      <c r="E25" s="15" t="n"/>
      <c r="F25" s="16" t="str">
        <f>IF(OR(D25="",D25=0,E25=""),"",E25/D25*$C$6)</f>
        <v/>
      </c>
      <c r="G25" s="12" t="str">
        <f>IF(OR(C25="",D25=""),"",C25-D25)</f>
        <v/>
      </c>
      <c r="H25" s="17" t="str">
        <f>IF(OR(C25="",C25=0,D25=""),"",G25/C25)</f>
        <v/>
      </c>
      <c r="I25" s="18" t="str">
        <f>IF(F25="","",RANK(F25,$F$11:$F$25,0))</f>
        <v/>
      </c>
      <c r="J25" s="19" t="n"/>
      <c r="K25" s="16" t="str">
        <f>IF(F25="","",MAX(F25-IF(J25="",$C$7,J25),0))</f>
        <v/>
      </c>
      <c r="L25" s="12" t="str">
        <f>IF(F25="","",E25-D25*K25/$C$6)</f>
        <v/>
      </c>
    </row>
    <row r="26">
      <c r="B26" s="20" t="inlineStr">
        <is>
          <t>TOTAL</t>
        </is>
      </c>
      <c r="C26" s="12">
        <f>SUM(C11:C25)</f>
        <v>2400000.0</v>
      </c>
      <c r="D26" s="12">
        <f>SUM(D11:D25)</f>
        <v>1728000.0</v>
      </c>
      <c r="E26" s="12">
        <f>SUM(E11:E25)</f>
        <v>330000.0</v>
      </c>
      <c r="F26" s="16">
        <f>IF(D26=0,"",E26/D26*$C$6)</f>
        <v>69.7048611111111</v>
      </c>
      <c r="G26" s="12">
        <f>SUM(G11:G25)</f>
        <v>672000.0</v>
      </c>
      <c r="H26" s="17">
        <f>IF(C26=0,"",G26/C26)</f>
        <v>0.28</v>
      </c>
      <c r="I26" s="21" t="n"/>
      <c r="J26" s="21" t="n"/>
      <c r="K26" s="16">
        <f>IF(D26=0,"",(E26-L26)/D26*$C$6)</f>
        <v>59.70486111111111</v>
      </c>
      <c r="L26" s="12">
        <f>SUM(L11:L25)</f>
        <v>47342.46575342468</v>
      </c>
    </row>
    <row r="28">
      <c r="B28" s="3" t="inlineStr">
        <is>
          <t>SENSIBILITÉ : TRÉSORERIE LIBÉRÉE SELON LE NOMBRE DE JOURS GAGNÉS (TOUTES FAMILLES)</t>
        </is>
      </c>
    </row>
    <row r="29" ht="30" customHeight="1">
      <c r="B29" s="13" t="inlineStr">
        <is>
          <t>Jours de stock gagnés</t>
        </is>
      </c>
      <c r="C29" s="13" t="inlineStr">
        <is>
          <t>Trésorerie libérée</t>
        </is>
      </c>
      <c r="D29" s="13" t="inlineStr">
        <is>
          <t>Jours de stock après</t>
        </is>
      </c>
    </row>
    <row r="30">
      <c r="B30" s="22" t="n">
        <v>5</v>
      </c>
      <c r="C30" s="12">
        <f>IF($C$6=0,0,MIN($D$26/$C$6*B30,$E$26))</f>
        <v>23671.23287671233</v>
      </c>
      <c r="D30" s="16">
        <f>IF($F$26="","",MAX($F$26-B30,0))</f>
        <v>64.7048611111111</v>
      </c>
    </row>
    <row r="31">
      <c r="B31" s="22" t="n">
        <v>10</v>
      </c>
      <c r="C31" s="12">
        <f>IF($C$6=0,0,MIN($D$26/$C$6*B31,$E$26))</f>
        <v>47342.46575342466</v>
      </c>
      <c r="D31" s="16">
        <f>IF($F$26="","",MAX($F$26-B31,0))</f>
        <v>59.7048611111111</v>
      </c>
    </row>
    <row r="32">
      <c r="B32" s="22" t="n">
        <v>15</v>
      </c>
      <c r="C32" s="12">
        <f>IF($C$6=0,0,MIN($D$26/$C$6*B32,$E$26))</f>
        <v>71013.69863013699</v>
      </c>
      <c r="D32" s="16">
        <f>IF($F$26="","",MAX($F$26-B32,0))</f>
        <v>54.7048611111111</v>
      </c>
    </row>
    <row r="33">
      <c r="B33" s="22" t="n">
        <v>20</v>
      </c>
      <c r="C33" s="12">
        <f>IF($C$6=0,0,MIN($D$26/$C$6*B33,$E$26))</f>
        <v>94684.93150684932</v>
      </c>
      <c r="D33" s="16">
        <f>IF($F$26="","",MAX($F$26-B33,0))</f>
        <v>49.7048611111111</v>
      </c>
    </row>
    <row r="34">
      <c r="B34" s="22" t="n">
        <v>30</v>
      </c>
      <c r="C34" s="12">
        <f>IF($C$6=0,0,MIN($D$26/$C$6*B34,$E$26))</f>
        <v>142027.39726027398</v>
      </c>
      <c r="D34" s="16">
        <f>IF($F$26="","",MAX($F$26-B34,0))</f>
        <v>39.7048611111111</v>
      </c>
    </row>
    <row r="36">
      <c r="B36" s="2" t="inlineStr">
        <is>
          <t>Lecture : chaque jour de stock gagné libère la trésorerie indiquée en C8 (coût d'achat annuel ÷ 365).</t>
        </is>
      </c>
    </row>
    <row r="37">
      <c r="B37" s="2" t="inlineStr">
        <is>
          <t>Le rang classe les familles de la plus lente (1) à la plus rapide : commencez par les premières.</t>
        </is>
      </c>
    </row>
    <row r="38">
      <c r="B38" s="2" t="inlineStr">
        <is>
          <t>Colonne J : laissez vide pour appliquer X jours (cellule C7), ou saisissez un objectif propre à la famille.</t>
        </is>
      </c>
    </row>
    <row r="40">
      <c r="B40" s="7" t="inlineStr">
        <is>
          <t>FG Conseils PME, www.fgconseilspme.fr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6" showDropDown="0" showInputMessage="0" showErrorMessage="0" allowBlank="0" error="Choisissez 365 ou 360." type="list">
      <formula1>"365,360"</formula1>
    </dataValidation>
    <dataValidation sqref="C7 J11:J25" showDropDown="0" showInputMessage="0" showErrorMessage="0" allowBlank="1" type="decimal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  <headerFooter>
    <oddHeader/>
    <oddFooter>&amp;C&amp;"Arial"&amp;9 FG Conseils PME, www.fgconseilspme.fr</oddFooter>
    <evenHeader/>
    <evenFooter>&amp;CFG Conseils PME, www.fgconseilspme.fr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N112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30" customWidth="1" min="3" max="3"/>
    <col width="24" customWidth="1" min="4" max="4"/>
    <col width="14" customWidth="1" min="5" max="5"/>
    <col width="11" customWidth="1" min="6" max="6"/>
    <col width="13" customWidth="1" min="7" max="7"/>
    <col width="15" customWidth="1" min="8" max="8"/>
    <col width="12" customWidth="1" min="9" max="9"/>
    <col width="18" customWidth="1" min="10" max="10"/>
    <col width="3" customWidth="1" min="11" max="11"/>
    <col width="30" customWidth="1" min="12" max="12"/>
    <col width="16" customWidth="1" min="13" max="13"/>
    <col width="14" customWidth="1" min="14" max="14"/>
  </cols>
  <sheetData>
    <row r="2">
      <c r="B2" s="1" t="inlineStr">
        <is>
          <t>STOCK DORMANT : LES ARTICLES SANS MOUVEMENT</t>
        </is>
      </c>
    </row>
    <row r="3">
      <c r="B3" s="2" t="inlineStr">
        <is>
          <t>Une ligne par article. Valeur au coût d'achat. Seuils en mois, à fixer selon votre métier.</t>
        </is>
      </c>
    </row>
    <row r="4">
      <c r="B4" s="8" t="inlineStr">
        <is>
          <t>EXEMPLE FICTIF déjà rempli (un négoce de 2,4 M€ de chiffre d'affaires) : remplacez les cellules jaunes par vos propres chiffres.</t>
        </is>
      </c>
    </row>
    <row r="6">
      <c r="B6" s="9" t="inlineStr">
        <is>
          <t>Date d'analyse</t>
        </is>
      </c>
      <c r="C6" s="23" t="n">
        <v>46326</v>
      </c>
    </row>
    <row r="7">
      <c r="B7" s="9" t="inlineStr">
        <is>
          <t>Seuil « dormant » (mois sans mouvement)</t>
        </is>
      </c>
      <c r="C7" s="24" t="n">
        <v>6</v>
      </c>
    </row>
    <row r="8">
      <c r="B8" s="9" t="inlineStr">
        <is>
          <t>Second seuil (mois sans mouvement)</t>
        </is>
      </c>
      <c r="C8" s="24" t="n">
        <v>12</v>
      </c>
    </row>
    <row r="10" ht="45" customHeight="1">
      <c r="B10" s="13" t="inlineStr">
        <is>
          <t>Référence</t>
        </is>
      </c>
      <c r="C10" s="13" t="inlineStr">
        <is>
          <t>Désignation</t>
        </is>
      </c>
      <c r="D10" s="13" t="inlineStr">
        <is>
          <t>Famille</t>
        </is>
      </c>
      <c r="E10" s="13" t="inlineStr">
        <is>
          <t>Date du dernier mouvement</t>
        </is>
      </c>
      <c r="F10" s="13" t="inlineStr">
        <is>
          <t>Quantité en stock</t>
        </is>
      </c>
      <c r="G10" s="13" t="inlineStr">
        <is>
          <t>Coût d'achat unitaire</t>
        </is>
      </c>
      <c r="H10" s="13" t="inlineStr">
        <is>
          <t>Valeur au coût d'achat</t>
        </is>
      </c>
      <c r="I10" s="13" t="inlineStr">
        <is>
          <t>Mois sans mouvement</t>
        </is>
      </c>
      <c r="J10" s="13" t="inlineStr">
        <is>
          <t>Statut</t>
        </is>
      </c>
      <c r="L10" s="3" t="inlineStr">
        <is>
          <t>SYNTHÈSE</t>
        </is>
      </c>
    </row>
    <row r="11">
      <c r="B11" s="14" t="inlineStr">
        <is>
          <t>SAN-0150</t>
        </is>
      </c>
      <c r="C11" s="14" t="inlineStr">
        <is>
          <t>WC suspendu, pack complet</t>
        </is>
      </c>
      <c r="D11" s="14" t="inlineStr">
        <is>
          <t>Sanitaire</t>
        </is>
      </c>
      <c r="E11" s="23" t="n">
        <v>46319</v>
      </c>
      <c r="F11" s="25" t="n">
        <v>25</v>
      </c>
      <c r="G11" s="26" t="n">
        <v>210</v>
      </c>
      <c r="H11" s="12">
        <f>IF(OR(F11="",G11=""),"",F11*G11)</f>
        <v>5250.0</v>
      </c>
      <c r="I11" s="18">
        <f>IF(E11="","",MAX(0,(YEAR($C$6)-YEAR(E11))*12+MONTH($C$6)-MONTH(E11)-IF(DAY($C$6)&lt;DAY(E11),1,0)))</f>
        <v>0</v>
      </c>
      <c r="J11" s="27" t="str">
        <f>IF(I11="","",IF(I11&gt;=$C$8,"Dormant &gt; "&amp;$C$8&amp;" mois",IF(I11&gt;=$C$7,"Dormant","Actif")))</f>
        <v>Actif</v>
      </c>
      <c r="L11" s="9" t="inlineStr">
        <is>
          <t>Valeur totale des articles listés</t>
        </is>
      </c>
      <c r="M11" s="12">
        <f>SUM(H11:H110)</f>
        <v>58938.0</v>
      </c>
    </row>
    <row r="12">
      <c r="B12" s="14" t="inlineStr">
        <is>
          <t>CHA-1290</t>
        </is>
      </c>
      <c r="C12" s="14" t="inlineStr">
        <is>
          <t>Pompe à chaleur air-eau 8 kW</t>
        </is>
      </c>
      <c r="D12" s="14" t="inlineStr">
        <is>
          <t>Chauffage</t>
        </is>
      </c>
      <c r="E12" s="23" t="n">
        <v>46310</v>
      </c>
      <c r="F12" s="25" t="n">
        <v>3</v>
      </c>
      <c r="G12" s="26" t="n">
        <v>3900</v>
      </c>
      <c r="H12" s="12">
        <f>IF(OR(F12="",G12=""),"",F12*G12)</f>
        <v>11700.0</v>
      </c>
      <c r="I12" s="18">
        <f>IF(E12="","",MAX(0,(YEAR($C$6)-YEAR(E12))*12+MONTH($C$6)-MONTH(E12)-IF(DAY($C$6)&lt;DAY(E12),1,0)))</f>
        <v>0</v>
      </c>
      <c r="J12" s="27" t="str">
        <f>IF(I12="","",IF(I12&gt;=$C$8,"Dormant &gt; "&amp;$C$8&amp;" mois",IF(I12&gt;=$C$7,"Dormant","Actif")))</f>
        <v>Actif</v>
      </c>
      <c r="L12" s="9" t="inlineStr">
        <is>
          <t>Valeur du stock dormant (≥ seuil)</t>
        </is>
      </c>
      <c r="M12" s="12">
        <f>SUMIFS(H11:H110,I11:I110,"&gt;="&amp;C7)</f>
        <v>21277.0</v>
      </c>
    </row>
    <row r="13">
      <c r="B13" s="14" t="inlineStr">
        <is>
          <t>CHA-1355</t>
        </is>
      </c>
      <c r="C13" s="14" t="inlineStr">
        <is>
          <t>Ballon thermodynamique 200 L</t>
        </is>
      </c>
      <c r="D13" s="14" t="inlineStr">
        <is>
          <t>Chauffage</t>
        </is>
      </c>
      <c r="E13" s="23" t="n">
        <v>46294</v>
      </c>
      <c r="F13" s="25" t="n">
        <v>5</v>
      </c>
      <c r="G13" s="26" t="n">
        <v>1150</v>
      </c>
      <c r="H13" s="12">
        <f>IF(OR(F13="",G13=""),"",F13*G13)</f>
        <v>5750.0</v>
      </c>
      <c r="I13" s="18">
        <f>IF(E13="","",MAX(0,(YEAR($C$6)-YEAR(E13))*12+MONTH($C$6)-MONTH(E13)-IF(DAY($C$6)&lt;DAY(E13),1,0)))</f>
        <v>1.0</v>
      </c>
      <c r="J13" s="27" t="str">
        <f>IF(I13="","",IF(I13&gt;=$C$8,"Dormant &gt; "&amp;$C$8&amp;" mois",IF(I13&gt;=$C$7,"Dormant","Actif")))</f>
        <v>Actif</v>
      </c>
      <c r="L13" s="9" t="inlineStr">
        <is>
          <t>dont au-delà du second seuil</t>
        </is>
      </c>
      <c r="M13" s="12">
        <f>SUMIFS(H11:H110,I11:I110,"&gt;="&amp;C8)</f>
        <v>11476.0</v>
      </c>
    </row>
    <row r="14">
      <c r="B14" s="14" t="inlineStr">
        <is>
          <t>OUT-0112</t>
        </is>
      </c>
      <c r="C14" s="14" t="inlineStr">
        <is>
          <t>Meuleuse 125 mm</t>
        </is>
      </c>
      <c r="D14" s="14" t="inlineStr">
        <is>
          <t>Outillage</t>
        </is>
      </c>
      <c r="E14" s="23" t="n">
        <v>46314</v>
      </c>
      <c r="F14" s="25" t="n">
        <v>18</v>
      </c>
      <c r="G14" s="26" t="n">
        <v>64</v>
      </c>
      <c r="H14" s="12">
        <f>IF(OR(F14="",G14=""),"",F14*G14)</f>
        <v>1152.0</v>
      </c>
      <c r="I14" s="18">
        <f>IF(E14="","",MAX(0,(YEAR($C$6)-YEAR(E14))*12+MONTH($C$6)-MONTH(E14)-IF(DAY($C$6)&lt;DAY(E14),1,0)))</f>
        <v>0</v>
      </c>
      <c r="J14" s="27" t="str">
        <f>IF(I14="","",IF(I14&gt;=$C$8,"Dormant &gt; "&amp;$C$8&amp;" mois",IF(I14&gt;=$C$7,"Dormant","Actif")))</f>
        <v>Actif</v>
      </c>
      <c r="L14" s="9" t="inlineStr">
        <is>
          <t>Part dormante de la valeur listée</t>
        </is>
      </c>
      <c r="M14" s="17">
        <f>IF(M11=0,"",M12/M11)</f>
        <v>0.36100648138722047</v>
      </c>
    </row>
    <row r="15">
      <c r="B15" s="14" t="inlineStr">
        <is>
          <t>QUI-1201</t>
        </is>
      </c>
      <c r="C15" s="14" t="inlineStr">
        <is>
          <t>Chevilles universelles, boîte de 100</t>
        </is>
      </c>
      <c r="D15" s="14" t="inlineStr">
        <is>
          <t>Quincaillerie</t>
        </is>
      </c>
      <c r="E15" s="23" t="n">
        <v>46325</v>
      </c>
      <c r="F15" s="25" t="n">
        <v>90</v>
      </c>
      <c r="G15" s="26" t="n">
        <v>11</v>
      </c>
      <c r="H15" s="12">
        <f>IF(OR(F15="",G15=""),"",F15*G15)</f>
        <v>990.0</v>
      </c>
      <c r="I15" s="18">
        <f>IF(E15="","",MAX(0,(YEAR($C$6)-YEAR(E15))*12+MONTH($C$6)-MONTH(E15)-IF(DAY($C$6)&lt;DAY(E15),1,0)))</f>
        <v>0</v>
      </c>
      <c r="J15" s="27" t="str">
        <f>IF(I15="","",IF(I15&gt;=$C$8,"Dormant &gt; "&amp;$C$8&amp;" mois",IF(I15&gt;=$C$7,"Dormant","Actif")))</f>
        <v>Actif</v>
      </c>
      <c r="L15" s="9" t="inlineStr">
        <is>
          <t>Nombre d'articles dormants</t>
        </is>
      </c>
      <c r="M15" s="18">
        <f>COUNTIFS(I11:I110,"&gt;="&amp;C7)</f>
        <v>7</v>
      </c>
    </row>
    <row r="16">
      <c r="B16" s="14" t="inlineStr">
        <is>
          <t>PIE-3101</t>
        </is>
      </c>
      <c r="C16" s="14" t="inlineStr">
        <is>
          <t>Circulateur de chauffage</t>
        </is>
      </c>
      <c r="D16" s="14" t="inlineStr">
        <is>
          <t>Pièces détachées</t>
        </is>
      </c>
      <c r="E16" s="23" t="n">
        <v>46303</v>
      </c>
      <c r="F16" s="25" t="n">
        <v>20</v>
      </c>
      <c r="G16" s="26" t="n">
        <v>145</v>
      </c>
      <c r="H16" s="12">
        <f>IF(OR(F16="",G16=""),"",F16*G16)</f>
        <v>2900.0</v>
      </c>
      <c r="I16" s="18">
        <f>IF(E16="","",MAX(0,(YEAR($C$6)-YEAR(E16))*12+MONTH($C$6)-MONTH(E16)-IF(DAY($C$6)&lt;DAY(E16),1,0)))</f>
        <v>0</v>
      </c>
      <c r="J16" s="27" t="str">
        <f>IF(I16="","",IF(I16&gt;=$C$8,"Dormant &gt; "&amp;$C$8&amp;" mois",IF(I16&gt;=$C$7,"Dormant","Actif")))</f>
        <v>Actif</v>
      </c>
    </row>
    <row r="17">
      <c r="B17" s="14" t="inlineStr">
        <is>
          <t>SAN-0412</t>
        </is>
      </c>
      <c r="C17" s="14" t="inlineStr">
        <is>
          <t>Receveur de douche 120 × 80</t>
        </is>
      </c>
      <c r="D17" s="14" t="inlineStr">
        <is>
          <t>Sanitaire</t>
        </is>
      </c>
      <c r="E17" s="23" t="n">
        <v>46283</v>
      </c>
      <c r="F17" s="25" t="n">
        <v>14</v>
      </c>
      <c r="G17" s="26" t="n">
        <v>182</v>
      </c>
      <c r="H17" s="12">
        <f>IF(OR(F17="",G17=""),"",F17*G17)</f>
        <v>2548.0</v>
      </c>
      <c r="I17" s="18">
        <f>IF(E17="","",MAX(0,(YEAR($C$6)-YEAR(E17))*12+MONTH($C$6)-MONTH(E17)-IF(DAY($C$6)&lt;DAY(E17),1,0)))</f>
        <v>1.0</v>
      </c>
      <c r="J17" s="27" t="str">
        <f>IF(I17="","",IF(I17&gt;=$C$8,"Dormant &gt; "&amp;$C$8&amp;" mois",IF(I17&gt;=$C$7,"Dormant","Actif")))</f>
        <v>Actif</v>
      </c>
    </row>
    <row r="18">
      <c r="B18" s="14" t="inlineStr">
        <is>
          <t>SAN-0977</t>
        </is>
      </c>
      <c r="C18" s="14" t="inlineStr">
        <is>
          <t>Colonne de douche thermostatique</t>
        </is>
      </c>
      <c r="D18" s="14" t="inlineStr">
        <is>
          <t>Sanitaire</t>
        </is>
      </c>
      <c r="E18" s="23" t="n">
        <v>45965</v>
      </c>
      <c r="F18" s="25" t="n">
        <v>9</v>
      </c>
      <c r="G18" s="26" t="n">
        <v>245</v>
      </c>
      <c r="H18" s="12">
        <f>IF(OR(F18="",G18=""),"",F18*G18)</f>
        <v>2205.0</v>
      </c>
      <c r="I18" s="18">
        <f>IF(E18="","",MAX(0,(YEAR($C$6)-YEAR(E18))*12+MONTH($C$6)-MONTH(E18)-IF(DAY($C$6)&lt;DAY(E18),1,0)))</f>
        <v>11.0</v>
      </c>
      <c r="J18" s="27" t="str">
        <f>IF(I18="","",IF(I18&gt;=$C$8,"Dormant &gt; "&amp;$C$8&amp;" mois",IF(I18&gt;=$C$7,"Dormant","Actif")))</f>
        <v>Dormant</v>
      </c>
      <c r="L18" s="3" t="inlineStr">
        <is>
          <t>STOCK DORMANT PAR FAMILLE</t>
        </is>
      </c>
    </row>
    <row r="19" ht="42" customHeight="1">
      <c r="B19" s="14" t="inlineStr">
        <is>
          <t>CHA-1103</t>
        </is>
      </c>
      <c r="C19" s="14" t="inlineStr">
        <is>
          <t>Radiateur acier 1 500 W</t>
        </is>
      </c>
      <c r="D19" s="14" t="inlineStr">
        <is>
          <t>Chauffage</t>
        </is>
      </c>
      <c r="E19" s="23" t="n">
        <v>46297</v>
      </c>
      <c r="F19" s="25" t="n">
        <v>22</v>
      </c>
      <c r="G19" s="26" t="n">
        <v>138</v>
      </c>
      <c r="H19" s="12">
        <f>IF(OR(F19="",G19=""),"",F19*G19)</f>
        <v>3036.0</v>
      </c>
      <c r="I19" s="18">
        <f>IF(E19="","",MAX(0,(YEAR($C$6)-YEAR(E19))*12+MONTH($C$6)-MONTH(E19)-IF(DAY($C$6)&lt;DAY(E19),1,0)))</f>
        <v>0</v>
      </c>
      <c r="J19" s="27" t="str">
        <f>IF(I19="","",IF(I19&gt;=$C$8,"Dormant &gt; "&amp;$C$8&amp;" mois",IF(I19&gt;=$C$7,"Dormant","Actif")))</f>
        <v>Actif</v>
      </c>
      <c r="L19" s="13" t="inlineStr">
        <is>
          <t>Famille (reprise de l'onglet « Jours de stock »)</t>
        </is>
      </c>
      <c r="M19" s="13" t="inlineStr">
        <is>
          <t>Valeur dormante</t>
        </is>
      </c>
      <c r="N19" s="13" t="inlineStr">
        <is>
          <t>Part du dormant total</t>
        </is>
      </c>
    </row>
    <row r="20">
      <c r="B20" s="14" t="inlineStr">
        <is>
          <t>CHA-2210</t>
        </is>
      </c>
      <c r="C20" s="14" t="inlineStr">
        <is>
          <t>Chaudière murale gaz ancienne gamme</t>
        </is>
      </c>
      <c r="D20" s="14" t="inlineStr">
        <is>
          <t>Chauffage</t>
        </is>
      </c>
      <c r="E20" s="23" t="n">
        <v>45820</v>
      </c>
      <c r="F20" s="25" t="n">
        <v>4</v>
      </c>
      <c r="G20" s="26" t="n">
        <v>1450</v>
      </c>
      <c r="H20" s="12">
        <f>IF(OR(F20="",G20=""),"",F20*G20)</f>
        <v>5800.0</v>
      </c>
      <c r="I20" s="18">
        <f>IF(E20="","",MAX(0,(YEAR($C$6)-YEAR(E20))*12+MONTH($C$6)-MONTH(E20)-IF(DAY($C$6)&lt;DAY(E20),1,0)))</f>
        <v>16.0</v>
      </c>
      <c r="J20" s="27" t="str">
        <f>IF(I20="","",IF(I20&gt;=$C$8,"Dormant &gt; "&amp;$C$8&amp;" mois",IF(I20&gt;=$C$7,"Dormant","Actif")))</f>
        <v>Dormant &gt; 12 mois</v>
      </c>
      <c r="L20" s="28" t="str">
        <f>IF('Jours de stock'!B11="","",'Jours de stock'!B11)</f>
        <v>Sanitaire</v>
      </c>
      <c r="M20" s="12">
        <f>IF(L20="","",SUMIFS($H$11:$H$110,$D$11:$D$110,L20,$I$11:$I$110,"&gt;="&amp;$C$7))</f>
        <v>2205.0</v>
      </c>
      <c r="N20" s="17">
        <f>IF(OR(L20="",$M$12=0),"",M20/$M$12)</f>
        <v>0.10363303097241153</v>
      </c>
    </row>
    <row r="21">
      <c r="B21" s="14" t="inlineStr">
        <is>
          <t>CHA-2318</t>
        </is>
      </c>
      <c r="C21" s="14" t="inlineStr">
        <is>
          <t>Kit de raccordement fioul</t>
        </is>
      </c>
      <c r="D21" s="14" t="inlineStr">
        <is>
          <t>Chauffage</t>
        </is>
      </c>
      <c r="E21" s="23" t="n">
        <v>46073</v>
      </c>
      <c r="F21" s="25" t="n">
        <v>30</v>
      </c>
      <c r="G21" s="26" t="n">
        <v>96</v>
      </c>
      <c r="H21" s="12">
        <f>IF(OR(F21="",G21=""),"",F21*G21)</f>
        <v>2880.0</v>
      </c>
      <c r="I21" s="18">
        <f>IF(E21="","",MAX(0,(YEAR($C$6)-YEAR(E21))*12+MONTH($C$6)-MONTH(E21)-IF(DAY($C$6)&lt;DAY(E21),1,0)))</f>
        <v>8.0</v>
      </c>
      <c r="J21" s="27" t="str">
        <f>IF(I21="","",IF(I21&gt;=$C$8,"Dormant &gt; "&amp;$C$8&amp;" mois",IF(I21&gt;=$C$7,"Dormant","Actif")))</f>
        <v>Dormant</v>
      </c>
      <c r="L21" s="28" t="str">
        <f>IF('Jours de stock'!B12="","",'Jours de stock'!B12)</f>
        <v>Chauffage</v>
      </c>
      <c r="M21" s="12">
        <f>IF(L21="","",SUMIFS($H$11:$H$110,$D$11:$D$110,L21,$I$11:$I$110,"&gt;="&amp;$C$7))</f>
        <v>8680.0</v>
      </c>
      <c r="N21" s="17">
        <f>IF(OR(L21="",$M$12=0),"",M21/$M$12)</f>
        <v>0.4079522489072708</v>
      </c>
    </row>
    <row r="22">
      <c r="B22" s="14" t="inlineStr">
        <is>
          <t>OUT-0058</t>
        </is>
      </c>
      <c r="C22" s="14" t="inlineStr">
        <is>
          <t>Perforateur SDS 900 W</t>
        </is>
      </c>
      <c r="D22" s="14" t="inlineStr">
        <is>
          <t>Outillage</t>
        </is>
      </c>
      <c r="E22" s="23" t="n">
        <v>46261</v>
      </c>
      <c r="F22" s="25" t="n">
        <v>11</v>
      </c>
      <c r="G22" s="26" t="n">
        <v>165</v>
      </c>
      <c r="H22" s="12">
        <f>IF(OR(F22="",G22=""),"",F22*G22)</f>
        <v>1815.0</v>
      </c>
      <c r="I22" s="18">
        <f>IF(E22="","",MAX(0,(YEAR($C$6)-YEAR(E22))*12+MONTH($C$6)-MONTH(E22)-IF(DAY($C$6)&lt;DAY(E22),1,0)))</f>
        <v>2.0</v>
      </c>
      <c r="J22" s="27" t="str">
        <f>IF(I22="","",IF(I22&gt;=$C$8,"Dormant &gt; "&amp;$C$8&amp;" mois",IF(I22&gt;=$C$7,"Dormant","Actif")))</f>
        <v>Actif</v>
      </c>
      <c r="L22" s="28" t="str">
        <f>IF('Jours de stock'!B13="","",'Jours de stock'!B13)</f>
        <v>Outillage</v>
      </c>
      <c r="M22" s="12">
        <f>IF(L22="","",SUMIFS($H$11:$H$110,$D$11:$D$110,L22,$I$11:$I$110,"&gt;="&amp;$C$7))</f>
        <v>2016.0</v>
      </c>
      <c r="N22" s="17">
        <f>IF(OR(L22="",$M$12=0),"",M22/$M$12)</f>
        <v>0.09475019974620483</v>
      </c>
    </row>
    <row r="23">
      <c r="B23" s="14" t="inlineStr">
        <is>
          <t>OUT-0731</t>
        </is>
      </c>
      <c r="C23" s="14" t="inlineStr">
        <is>
          <t>Coffret de forets ancienne référence</t>
        </is>
      </c>
      <c r="D23" s="14" t="inlineStr">
        <is>
          <t>Outillage</t>
        </is>
      </c>
      <c r="E23" s="23" t="n">
        <v>45930</v>
      </c>
      <c r="F23" s="25" t="n">
        <v>48</v>
      </c>
      <c r="G23" s="26" t="n">
        <v>42</v>
      </c>
      <c r="H23" s="12">
        <f>IF(OR(F23="",G23=""),"",F23*G23)</f>
        <v>2016.0</v>
      </c>
      <c r="I23" s="18">
        <f>IF(E23="","",MAX(0,(YEAR($C$6)-YEAR(E23))*12+MONTH($C$6)-MONTH(E23)-IF(DAY($C$6)&lt;DAY(E23),1,0)))</f>
        <v>13.0</v>
      </c>
      <c r="J23" s="27" t="str">
        <f>IF(I23="","",IF(I23&gt;=$C$8,"Dormant &gt; "&amp;$C$8&amp;" mois",IF(I23&gt;=$C$7,"Dormant","Actif")))</f>
        <v>Dormant &gt; 12 mois</v>
      </c>
      <c r="L23" s="28" t="str">
        <f>IF('Jours de stock'!B14="","",'Jours de stock'!B14)</f>
        <v>Quincaillerie</v>
      </c>
      <c r="M23" s="12">
        <f>IF(L23="","",SUMIFS($H$11:$H$110,$D$11:$D$110,L23,$I$11:$I$110,"&gt;="&amp;$C$7))</f>
        <v>1416.0</v>
      </c>
      <c r="N23" s="17">
        <f>IF(OR(L23="",$M$12=0),"",M23/$M$12)</f>
        <v>0.06655073553602482</v>
      </c>
    </row>
    <row r="24">
      <c r="B24" s="14" t="inlineStr">
        <is>
          <t>QUI-1450</t>
        </is>
      </c>
      <c r="C24" s="14" t="inlineStr">
        <is>
          <t>Boîte de vis inox 5 × 50</t>
        </is>
      </c>
      <c r="D24" s="14" t="inlineStr">
        <is>
          <t>Quincaillerie</t>
        </is>
      </c>
      <c r="E24" s="23" t="n">
        <v>46316</v>
      </c>
      <c r="F24" s="25" t="n">
        <v>160</v>
      </c>
      <c r="G24" s="26" t="n">
        <v>9</v>
      </c>
      <c r="H24" s="12">
        <f>IF(OR(F24="",G24=""),"",F24*G24)</f>
        <v>1440.0</v>
      </c>
      <c r="I24" s="18">
        <f>IF(E24="","",MAX(0,(YEAR($C$6)-YEAR(E24))*12+MONTH($C$6)-MONTH(E24)-IF(DAY($C$6)&lt;DAY(E24),1,0)))</f>
        <v>0</v>
      </c>
      <c r="J24" s="27" t="str">
        <f>IF(I24="","",IF(I24&gt;=$C$8,"Dormant &gt; "&amp;$C$8&amp;" mois",IF(I24&gt;=$C$7,"Dormant","Actif")))</f>
        <v>Actif</v>
      </c>
      <c r="L24" s="28" t="str">
        <f>IF('Jours de stock'!B15="","",'Jours de stock'!B15)</f>
        <v>Consommables de chantier</v>
      </c>
      <c r="M24" s="12">
        <f>IF(L24="","",SUMIFS($H$11:$H$110,$D$11:$D$110,L24,$I$11:$I$110,"&gt;="&amp;$C$7))</f>
        <v>0.0</v>
      </c>
      <c r="N24" s="17">
        <f>IF(OR(L24="",$M$12=0),"",M24/$M$12)</f>
        <v>0.0</v>
      </c>
    </row>
    <row r="25">
      <c r="B25" s="14" t="inlineStr">
        <is>
          <t>QUI-1622</t>
        </is>
      </c>
      <c r="C25" s="14" t="inlineStr">
        <is>
          <t>Serrure 3 points couleur bronze</t>
        </is>
      </c>
      <c r="D25" s="14" t="inlineStr">
        <is>
          <t>Quincaillerie</t>
        </is>
      </c>
      <c r="E25" s="23" t="n">
        <v>46037</v>
      </c>
      <c r="F25" s="25" t="n">
        <v>12</v>
      </c>
      <c r="G25" s="26" t="n">
        <v>118</v>
      </c>
      <c r="H25" s="12">
        <f>IF(OR(F25="",G25=""),"",F25*G25)</f>
        <v>1416.0</v>
      </c>
      <c r="I25" s="18">
        <f>IF(E25="","",MAX(0,(YEAR($C$6)-YEAR(E25))*12+MONTH($C$6)-MONTH(E25)-IF(DAY($C$6)&lt;DAY(E25),1,0)))</f>
        <v>9.0</v>
      </c>
      <c r="J25" s="27" t="str">
        <f>IF(I25="","",IF(I25&gt;=$C$8,"Dormant &gt; "&amp;$C$8&amp;" mois",IF(I25&gt;=$C$7,"Dormant","Actif")))</f>
        <v>Dormant</v>
      </c>
      <c r="L25" s="28" t="str">
        <f>IF('Jours de stock'!B16="","",'Jours de stock'!B16)</f>
        <v>Pièces détachées</v>
      </c>
      <c r="M25" s="12">
        <f>IF(L25="","",SUMIFS($H$11:$H$110,$D$11:$D$110,L25,$I$11:$I$110,"&gt;="&amp;$C$7))</f>
        <v>6960.0</v>
      </c>
      <c r="N25" s="17">
        <f>IF(OR(L25="",$M$12=0),"",M25/$M$12)</f>
        <v>0.32711378483808806</v>
      </c>
    </row>
    <row r="26">
      <c r="B26" s="14" t="inlineStr">
        <is>
          <t>CON-0201</t>
        </is>
      </c>
      <c r="C26" s="14" t="inlineStr">
        <is>
          <t>Mastic silicone sanitaire</t>
        </is>
      </c>
      <c r="D26" s="14" t="inlineStr">
        <is>
          <t>Consommables de chantier</t>
        </is>
      </c>
      <c r="E26" s="23" t="n">
        <v>46323</v>
      </c>
      <c r="F26" s="25" t="n">
        <v>240</v>
      </c>
      <c r="G26" s="26" t="n">
        <v>4.5</v>
      </c>
      <c r="H26" s="12">
        <f>IF(OR(F26="",G26=""),"",F26*G26)</f>
        <v>1080.0</v>
      </c>
      <c r="I26" s="18">
        <f>IF(E26="","",MAX(0,(YEAR($C$6)-YEAR(E26))*12+MONTH($C$6)-MONTH(E26)-IF(DAY($C$6)&lt;DAY(E26),1,0)))</f>
        <v>0</v>
      </c>
      <c r="J26" s="27" t="str">
        <f>IF(I26="","",IF(I26&gt;=$C$8,"Dormant &gt; "&amp;$C$8&amp;" mois",IF(I26&gt;=$C$7,"Dormant","Actif")))</f>
        <v>Actif</v>
      </c>
      <c r="L26" s="28" t="str">
        <f>IF('Jours de stock'!B17="","",'Jours de stock'!B17)</f>
        <v/>
      </c>
      <c r="M26" s="12" t="str">
        <f>IF(L26="","",SUMIFS($H$11:$H$110,$D$11:$D$110,L26,$I$11:$I$110,"&gt;="&amp;$C$7))</f>
        <v/>
      </c>
      <c r="N26" s="17" t="str">
        <f>IF(OR(L26="",$M$12=0),"",M26/$M$12)</f>
        <v/>
      </c>
    </row>
    <row r="27">
      <c r="B27" s="14" t="inlineStr">
        <is>
          <t>PIE-3307</t>
        </is>
      </c>
      <c r="C27" s="14" t="inlineStr">
        <is>
          <t>Brûleur de remplacement modèle arrêté</t>
        </is>
      </c>
      <c r="D27" s="14" t="inlineStr">
        <is>
          <t>Pièces détachées</t>
        </is>
      </c>
      <c r="E27" s="23" t="n">
        <v>45629</v>
      </c>
      <c r="F27" s="25" t="n">
        <v>6</v>
      </c>
      <c r="G27" s="26" t="n">
        <v>610</v>
      </c>
      <c r="H27" s="12">
        <f>IF(OR(F27="",G27=""),"",F27*G27)</f>
        <v>3660.0</v>
      </c>
      <c r="I27" s="18">
        <f>IF(E27="","",MAX(0,(YEAR($C$6)-YEAR(E27))*12+MONTH($C$6)-MONTH(E27)-IF(DAY($C$6)&lt;DAY(E27),1,0)))</f>
        <v>22.0</v>
      </c>
      <c r="J27" s="27" t="str">
        <f>IF(I27="","",IF(I27&gt;=$C$8,"Dormant &gt; "&amp;$C$8&amp;" mois",IF(I27&gt;=$C$7,"Dormant","Actif")))</f>
        <v>Dormant &gt; 12 mois</v>
      </c>
      <c r="L27" s="28" t="str">
        <f>IF('Jours de stock'!B18="","",'Jours de stock'!B18)</f>
        <v/>
      </c>
      <c r="M27" s="12" t="str">
        <f>IF(L27="","",SUMIFS($H$11:$H$110,$D$11:$D$110,L27,$I$11:$I$110,"&gt;="&amp;$C$7))</f>
        <v/>
      </c>
      <c r="N27" s="17" t="str">
        <f>IF(OR(L27="",$M$12=0),"",M27/$M$12)</f>
        <v/>
      </c>
    </row>
    <row r="28">
      <c r="B28" s="14" t="inlineStr">
        <is>
          <t>PIE-3512</t>
        </is>
      </c>
      <c r="C28" s="14" t="inlineStr">
        <is>
          <t>Carte électronique de chaudière</t>
        </is>
      </c>
      <c r="D28" s="14" t="inlineStr">
        <is>
          <t>Pièces détachées</t>
        </is>
      </c>
      <c r="E28" s="23" t="n">
        <v>46090</v>
      </c>
      <c r="F28" s="25" t="n">
        <v>15</v>
      </c>
      <c r="G28" s="26" t="n">
        <v>220</v>
      </c>
      <c r="H28" s="12">
        <f>IF(OR(F28="",G28=""),"",F28*G28)</f>
        <v>3300.0</v>
      </c>
      <c r="I28" s="18">
        <f>IF(E28="","",MAX(0,(YEAR($C$6)-YEAR(E28))*12+MONTH($C$6)-MONTH(E28)-IF(DAY($C$6)&lt;DAY(E28),1,0)))</f>
        <v>7.0</v>
      </c>
      <c r="J28" s="27" t="str">
        <f>IF(I28="","",IF(I28&gt;=$C$8,"Dormant &gt; "&amp;$C$8&amp;" mois",IF(I28&gt;=$C$7,"Dormant","Actif")))</f>
        <v>Dormant</v>
      </c>
      <c r="L28" s="28" t="str">
        <f>IF('Jours de stock'!B19="","",'Jours de stock'!B19)</f>
        <v/>
      </c>
      <c r="M28" s="12" t="str">
        <f>IF(L28="","",SUMIFS($H$11:$H$110,$D$11:$D$110,L28,$I$11:$I$110,"&gt;="&amp;$C$7))</f>
        <v/>
      </c>
      <c r="N28" s="17" t="str">
        <f>IF(OR(L28="",$M$12=0),"",M28/$M$12)</f>
        <v/>
      </c>
    </row>
    <row r="29">
      <c r="B29" s="14" t="n"/>
      <c r="C29" s="14" t="n"/>
      <c r="D29" s="14" t="n"/>
      <c r="E29" s="23" t="n"/>
      <c r="F29" s="25" t="n"/>
      <c r="G29" s="26" t="n"/>
      <c r="H29" s="12" t="str">
        <f>IF(OR(F29="",G29=""),"",F29*G29)</f>
        <v/>
      </c>
      <c r="I29" s="18" t="str">
        <f>IF(E29="","",MAX(0,(YEAR($C$6)-YEAR(E29))*12+MONTH($C$6)-MONTH(E29)-IF(DAY($C$6)&lt;DAY(E29),1,0)))</f>
        <v/>
      </c>
      <c r="J29" s="27" t="str">
        <f>IF(I29="","",IF(I29&gt;=$C$8,"Dormant &gt; "&amp;$C$8&amp;" mois",IF(I29&gt;=$C$7,"Dormant","Actif")))</f>
        <v/>
      </c>
      <c r="L29" s="28" t="str">
        <f>IF('Jours de stock'!B20="","",'Jours de stock'!B20)</f>
        <v/>
      </c>
      <c r="M29" s="12" t="str">
        <f>IF(L29="","",SUMIFS($H$11:$H$110,$D$11:$D$110,L29,$I$11:$I$110,"&gt;="&amp;$C$7))</f>
        <v/>
      </c>
      <c r="N29" s="17" t="str">
        <f>IF(OR(L29="",$M$12=0),"",M29/$M$12)</f>
        <v/>
      </c>
    </row>
    <row r="30">
      <c r="B30" s="14" t="n"/>
      <c r="C30" s="14" t="n"/>
      <c r="D30" s="14" t="n"/>
      <c r="E30" s="23" t="n"/>
      <c r="F30" s="25" t="n"/>
      <c r="G30" s="26" t="n"/>
      <c r="H30" s="12" t="str">
        <f>IF(OR(F30="",G30=""),"",F30*G30)</f>
        <v/>
      </c>
      <c r="I30" s="18" t="str">
        <f>IF(E30="","",MAX(0,(YEAR($C$6)-YEAR(E30))*12+MONTH($C$6)-MONTH(E30)-IF(DAY($C$6)&lt;DAY(E30),1,0)))</f>
        <v/>
      </c>
      <c r="J30" s="27" t="str">
        <f>IF(I30="","",IF(I30&gt;=$C$8,"Dormant &gt; "&amp;$C$8&amp;" mois",IF(I30&gt;=$C$7,"Dormant","Actif")))</f>
        <v/>
      </c>
      <c r="L30" s="28" t="str">
        <f>IF('Jours de stock'!B21="","",'Jours de stock'!B21)</f>
        <v/>
      </c>
      <c r="M30" s="12" t="str">
        <f>IF(L30="","",SUMIFS($H$11:$H$110,$D$11:$D$110,L30,$I$11:$I$110,"&gt;="&amp;$C$7))</f>
        <v/>
      </c>
      <c r="N30" s="17" t="str">
        <f>IF(OR(L30="",$M$12=0),"",M30/$M$12)</f>
        <v/>
      </c>
    </row>
    <row r="31">
      <c r="B31" s="14" t="n"/>
      <c r="C31" s="14" t="n"/>
      <c r="D31" s="14" t="n"/>
      <c r="E31" s="23" t="n"/>
      <c r="F31" s="25" t="n"/>
      <c r="G31" s="26" t="n"/>
      <c r="H31" s="12" t="str">
        <f>IF(OR(F31="",G31=""),"",F31*G31)</f>
        <v/>
      </c>
      <c r="I31" s="18" t="str">
        <f>IF(E31="","",MAX(0,(YEAR($C$6)-YEAR(E31))*12+MONTH($C$6)-MONTH(E31)-IF(DAY($C$6)&lt;DAY(E31),1,0)))</f>
        <v/>
      </c>
      <c r="J31" s="27" t="str">
        <f>IF(I31="","",IF(I31&gt;=$C$8,"Dormant &gt; "&amp;$C$8&amp;" mois",IF(I31&gt;=$C$7,"Dormant","Actif")))</f>
        <v/>
      </c>
      <c r="L31" s="28" t="str">
        <f>IF('Jours de stock'!B22="","",'Jours de stock'!B22)</f>
        <v/>
      </c>
      <c r="M31" s="12" t="str">
        <f>IF(L31="","",SUMIFS($H$11:$H$110,$D$11:$D$110,L31,$I$11:$I$110,"&gt;="&amp;$C$7))</f>
        <v/>
      </c>
      <c r="N31" s="17" t="str">
        <f>IF(OR(L31="",$M$12=0),"",M31/$M$12)</f>
        <v/>
      </c>
    </row>
    <row r="32">
      <c r="B32" s="14" t="n"/>
      <c r="C32" s="14" t="n"/>
      <c r="D32" s="14" t="n"/>
      <c r="E32" s="23" t="n"/>
      <c r="F32" s="25" t="n"/>
      <c r="G32" s="26" t="n"/>
      <c r="H32" s="12" t="str">
        <f>IF(OR(F32="",G32=""),"",F32*G32)</f>
        <v/>
      </c>
      <c r="I32" s="18" t="str">
        <f>IF(E32="","",MAX(0,(YEAR($C$6)-YEAR(E32))*12+MONTH($C$6)-MONTH(E32)-IF(DAY($C$6)&lt;DAY(E32),1,0)))</f>
        <v/>
      </c>
      <c r="J32" s="27" t="str">
        <f>IF(I32="","",IF(I32&gt;=$C$8,"Dormant &gt; "&amp;$C$8&amp;" mois",IF(I32&gt;=$C$7,"Dormant","Actif")))</f>
        <v/>
      </c>
      <c r="L32" s="28" t="str">
        <f>IF('Jours de stock'!B23="","",'Jours de stock'!B23)</f>
        <v/>
      </c>
      <c r="M32" s="12" t="str">
        <f>IF(L32="","",SUMIFS($H$11:$H$110,$D$11:$D$110,L32,$I$11:$I$110,"&gt;="&amp;$C$7))</f>
        <v/>
      </c>
      <c r="N32" s="17" t="str">
        <f>IF(OR(L32="",$M$12=0),"",M32/$M$12)</f>
        <v/>
      </c>
    </row>
    <row r="33">
      <c r="B33" s="14" t="n"/>
      <c r="C33" s="14" t="n"/>
      <c r="D33" s="14" t="n"/>
      <c r="E33" s="23" t="n"/>
      <c r="F33" s="25" t="n"/>
      <c r="G33" s="26" t="n"/>
      <c r="H33" s="12" t="str">
        <f>IF(OR(F33="",G33=""),"",F33*G33)</f>
        <v/>
      </c>
      <c r="I33" s="18" t="str">
        <f>IF(E33="","",MAX(0,(YEAR($C$6)-YEAR(E33))*12+MONTH($C$6)-MONTH(E33)-IF(DAY($C$6)&lt;DAY(E33),1,0)))</f>
        <v/>
      </c>
      <c r="J33" s="27" t="str">
        <f>IF(I33="","",IF(I33&gt;=$C$8,"Dormant &gt; "&amp;$C$8&amp;" mois",IF(I33&gt;=$C$7,"Dormant","Actif")))</f>
        <v/>
      </c>
      <c r="L33" s="28" t="str">
        <f>IF('Jours de stock'!B24="","",'Jours de stock'!B24)</f>
        <v/>
      </c>
      <c r="M33" s="12" t="str">
        <f>IF(L33="","",SUMIFS($H$11:$H$110,$D$11:$D$110,L33,$I$11:$I$110,"&gt;="&amp;$C$7))</f>
        <v/>
      </c>
      <c r="N33" s="17" t="str">
        <f>IF(OR(L33="",$M$12=0),"",M33/$M$12)</f>
        <v/>
      </c>
    </row>
    <row r="34">
      <c r="B34" s="14" t="n"/>
      <c r="C34" s="14" t="n"/>
      <c r="D34" s="14" t="n"/>
      <c r="E34" s="23" t="n"/>
      <c r="F34" s="25" t="n"/>
      <c r="G34" s="26" t="n"/>
      <c r="H34" s="12" t="str">
        <f>IF(OR(F34="",G34=""),"",F34*G34)</f>
        <v/>
      </c>
      <c r="I34" s="18" t="str">
        <f>IF(E34="","",MAX(0,(YEAR($C$6)-YEAR(E34))*12+MONTH($C$6)-MONTH(E34)-IF(DAY($C$6)&lt;DAY(E34),1,0)))</f>
        <v/>
      </c>
      <c r="J34" s="27" t="str">
        <f>IF(I34="","",IF(I34&gt;=$C$8,"Dormant &gt; "&amp;$C$8&amp;" mois",IF(I34&gt;=$C$7,"Dormant","Actif")))</f>
        <v/>
      </c>
      <c r="L34" s="28" t="str">
        <f>IF('Jours de stock'!B25="","",'Jours de stock'!B25)</f>
        <v/>
      </c>
      <c r="M34" s="12" t="str">
        <f>IF(L34="","",SUMIFS($H$11:$H$110,$D$11:$D$110,L34,$I$11:$I$110,"&gt;="&amp;$C$7))</f>
        <v/>
      </c>
      <c r="N34" s="17" t="str">
        <f>IF(OR(L34="",$M$12=0),"",M34/$M$12)</f>
        <v/>
      </c>
    </row>
    <row r="35">
      <c r="B35" s="14" t="n"/>
      <c r="C35" s="14" t="n"/>
      <c r="D35" s="14" t="n"/>
      <c r="E35" s="23" t="n"/>
      <c r="F35" s="25" t="n"/>
      <c r="G35" s="26" t="n"/>
      <c r="H35" s="12" t="str">
        <f>IF(OR(F35="",G35=""),"",F35*G35)</f>
        <v/>
      </c>
      <c r="I35" s="18" t="str">
        <f>IF(E35="","",MAX(0,(YEAR($C$6)-YEAR(E35))*12+MONTH($C$6)-MONTH(E35)-IF(DAY($C$6)&lt;DAY(E35),1,0)))</f>
        <v/>
      </c>
      <c r="J35" s="27" t="str">
        <f>IF(I35="","",IF(I35&gt;=$C$8,"Dormant &gt; "&amp;$C$8&amp;" mois",IF(I35&gt;=$C$7,"Dormant","Actif")))</f>
        <v/>
      </c>
    </row>
    <row r="36">
      <c r="B36" s="14" t="n"/>
      <c r="C36" s="14" t="n"/>
      <c r="D36" s="14" t="n"/>
      <c r="E36" s="23" t="n"/>
      <c r="F36" s="25" t="n"/>
      <c r="G36" s="26" t="n"/>
      <c r="H36" s="12" t="str">
        <f>IF(OR(F36="",G36=""),"",F36*G36)</f>
        <v/>
      </c>
      <c r="I36" s="18" t="str">
        <f>IF(E36="","",MAX(0,(YEAR($C$6)-YEAR(E36))*12+MONTH($C$6)-MONTH(E36)-IF(DAY($C$6)&lt;DAY(E36),1,0)))</f>
        <v/>
      </c>
      <c r="J36" s="27" t="str">
        <f>IF(I36="","",IF(I36&gt;=$C$8,"Dormant &gt; "&amp;$C$8&amp;" mois",IF(I36&gt;=$C$7,"Dormant","Actif")))</f>
        <v/>
      </c>
      <c r="L36" s="2" t="inlineStr">
        <is>
          <t>Saisissez en colonne D le nom exact de la famille,</t>
        </is>
      </c>
    </row>
    <row r="37">
      <c r="B37" s="14" t="n"/>
      <c r="C37" s="14" t="n"/>
      <c r="D37" s="14" t="n"/>
      <c r="E37" s="23" t="n"/>
      <c r="F37" s="25" t="n"/>
      <c r="G37" s="26" t="n"/>
      <c r="H37" s="12" t="str">
        <f>IF(OR(F37="",G37=""),"",F37*G37)</f>
        <v/>
      </c>
      <c r="I37" s="18" t="str">
        <f>IF(E37="","",MAX(0,(YEAR($C$6)-YEAR(E37))*12+MONTH($C$6)-MONTH(E37)-IF(DAY($C$6)&lt;DAY(E37),1,0)))</f>
        <v/>
      </c>
      <c r="J37" s="27" t="str">
        <f>IF(I37="","",IF(I37&gt;=$C$8,"Dormant &gt; "&amp;$C$8&amp;" mois",IF(I37&gt;=$C$7,"Dormant","Actif")))</f>
        <v/>
      </c>
      <c r="L37" s="2" t="inlineStr">
        <is>
          <t>tel qu'il figure dans l'onglet « Jours de stock » (liste proposée).</t>
        </is>
      </c>
    </row>
    <row r="38">
      <c r="B38" s="14" t="n"/>
      <c r="C38" s="14" t="n"/>
      <c r="D38" s="14" t="n"/>
      <c r="E38" s="23" t="n"/>
      <c r="F38" s="25" t="n"/>
      <c r="G38" s="26" t="n"/>
      <c r="H38" s="12" t="str">
        <f>IF(OR(F38="",G38=""),"",F38*G38)</f>
        <v/>
      </c>
      <c r="I38" s="18" t="str">
        <f>IF(E38="","",MAX(0,(YEAR($C$6)-YEAR(E38))*12+MONTH($C$6)-MONTH(E38)-IF(DAY($C$6)&lt;DAY(E38),1,0)))</f>
        <v/>
      </c>
      <c r="J38" s="27" t="str">
        <f>IF(I38="","",IF(I38&gt;=$C$8,"Dormant &gt; "&amp;$C$8&amp;" mois",IF(I38&gt;=$C$7,"Dormant","Actif")))</f>
        <v/>
      </c>
    </row>
    <row r="39">
      <c r="B39" s="14" t="n"/>
      <c r="C39" s="14" t="n"/>
      <c r="D39" s="14" t="n"/>
      <c r="E39" s="23" t="n"/>
      <c r="F39" s="25" t="n"/>
      <c r="G39" s="26" t="n"/>
      <c r="H39" s="12" t="str">
        <f>IF(OR(F39="",G39=""),"",F39*G39)</f>
        <v/>
      </c>
      <c r="I39" s="18" t="str">
        <f>IF(E39="","",MAX(0,(YEAR($C$6)-YEAR(E39))*12+MONTH($C$6)-MONTH(E39)-IF(DAY($C$6)&lt;DAY(E39),1,0)))</f>
        <v/>
      </c>
      <c r="J39" s="27" t="str">
        <f>IF(I39="","",IF(I39&gt;=$C$8,"Dormant &gt; "&amp;$C$8&amp;" mois",IF(I39&gt;=$C$7,"Dormant","Actif")))</f>
        <v/>
      </c>
    </row>
    <row r="40">
      <c r="B40" s="14" t="n"/>
      <c r="C40" s="14" t="n"/>
      <c r="D40" s="14" t="n"/>
      <c r="E40" s="23" t="n"/>
      <c r="F40" s="25" t="n"/>
      <c r="G40" s="26" t="n"/>
      <c r="H40" s="12" t="str">
        <f>IF(OR(F40="",G40=""),"",F40*G40)</f>
        <v/>
      </c>
      <c r="I40" s="18" t="str">
        <f>IF(E40="","",MAX(0,(YEAR($C$6)-YEAR(E40))*12+MONTH($C$6)-MONTH(E40)-IF(DAY($C$6)&lt;DAY(E40),1,0)))</f>
        <v/>
      </c>
      <c r="J40" s="27" t="str">
        <f>IF(I40="","",IF(I40&gt;=$C$8,"Dormant &gt; "&amp;$C$8&amp;" mois",IF(I40&gt;=$C$7,"Dormant","Actif")))</f>
        <v/>
      </c>
    </row>
    <row r="41">
      <c r="B41" s="14" t="n"/>
      <c r="C41" s="14" t="n"/>
      <c r="D41" s="14" t="n"/>
      <c r="E41" s="23" t="n"/>
      <c r="F41" s="25" t="n"/>
      <c r="G41" s="26" t="n"/>
      <c r="H41" s="12" t="str">
        <f>IF(OR(F41="",G41=""),"",F41*G41)</f>
        <v/>
      </c>
      <c r="I41" s="18" t="str">
        <f>IF(E41="","",MAX(0,(YEAR($C$6)-YEAR(E41))*12+MONTH($C$6)-MONTH(E41)-IF(DAY($C$6)&lt;DAY(E41),1,0)))</f>
        <v/>
      </c>
      <c r="J41" s="27" t="str">
        <f>IF(I41="","",IF(I41&gt;=$C$8,"Dormant &gt; "&amp;$C$8&amp;" mois",IF(I41&gt;=$C$7,"Dormant","Actif")))</f>
        <v/>
      </c>
    </row>
    <row r="42">
      <c r="B42" s="14" t="n"/>
      <c r="C42" s="14" t="n"/>
      <c r="D42" s="14" t="n"/>
      <c r="E42" s="23" t="n"/>
      <c r="F42" s="25" t="n"/>
      <c r="G42" s="26" t="n"/>
      <c r="H42" s="12" t="str">
        <f>IF(OR(F42="",G42=""),"",F42*G42)</f>
        <v/>
      </c>
      <c r="I42" s="18" t="str">
        <f>IF(E42="","",MAX(0,(YEAR($C$6)-YEAR(E42))*12+MONTH($C$6)-MONTH(E42)-IF(DAY($C$6)&lt;DAY(E42),1,0)))</f>
        <v/>
      </c>
      <c r="J42" s="27" t="str">
        <f>IF(I42="","",IF(I42&gt;=$C$8,"Dormant &gt; "&amp;$C$8&amp;" mois",IF(I42&gt;=$C$7,"Dormant","Actif")))</f>
        <v/>
      </c>
    </row>
    <row r="43">
      <c r="B43" s="14" t="n"/>
      <c r="C43" s="14" t="n"/>
      <c r="D43" s="14" t="n"/>
      <c r="E43" s="23" t="n"/>
      <c r="F43" s="25" t="n"/>
      <c r="G43" s="26" t="n"/>
      <c r="H43" s="12" t="str">
        <f>IF(OR(F43="",G43=""),"",F43*G43)</f>
        <v/>
      </c>
      <c r="I43" s="18" t="str">
        <f>IF(E43="","",MAX(0,(YEAR($C$6)-YEAR(E43))*12+MONTH($C$6)-MONTH(E43)-IF(DAY($C$6)&lt;DAY(E43),1,0)))</f>
        <v/>
      </c>
      <c r="J43" s="27" t="str">
        <f>IF(I43="","",IF(I43&gt;=$C$8,"Dormant &gt; "&amp;$C$8&amp;" mois",IF(I43&gt;=$C$7,"Dormant","Actif")))</f>
        <v/>
      </c>
    </row>
    <row r="44">
      <c r="B44" s="14" t="n"/>
      <c r="C44" s="14" t="n"/>
      <c r="D44" s="14" t="n"/>
      <c r="E44" s="23" t="n"/>
      <c r="F44" s="25" t="n"/>
      <c r="G44" s="26" t="n"/>
      <c r="H44" s="12" t="str">
        <f>IF(OR(F44="",G44=""),"",F44*G44)</f>
        <v/>
      </c>
      <c r="I44" s="18" t="str">
        <f>IF(E44="","",MAX(0,(YEAR($C$6)-YEAR(E44))*12+MONTH($C$6)-MONTH(E44)-IF(DAY($C$6)&lt;DAY(E44),1,0)))</f>
        <v/>
      </c>
      <c r="J44" s="27" t="str">
        <f>IF(I44="","",IF(I44&gt;=$C$8,"Dormant &gt; "&amp;$C$8&amp;" mois",IF(I44&gt;=$C$7,"Dormant","Actif")))</f>
        <v/>
      </c>
    </row>
    <row r="45">
      <c r="B45" s="14" t="n"/>
      <c r="C45" s="14" t="n"/>
      <c r="D45" s="14" t="n"/>
      <c r="E45" s="23" t="n"/>
      <c r="F45" s="25" t="n"/>
      <c r="G45" s="26" t="n"/>
      <c r="H45" s="12" t="str">
        <f>IF(OR(F45="",G45=""),"",F45*G45)</f>
        <v/>
      </c>
      <c r="I45" s="18" t="str">
        <f>IF(E45="","",MAX(0,(YEAR($C$6)-YEAR(E45))*12+MONTH($C$6)-MONTH(E45)-IF(DAY($C$6)&lt;DAY(E45),1,0)))</f>
        <v/>
      </c>
      <c r="J45" s="27" t="str">
        <f>IF(I45="","",IF(I45&gt;=$C$8,"Dormant &gt; "&amp;$C$8&amp;" mois",IF(I45&gt;=$C$7,"Dormant","Actif")))</f>
        <v/>
      </c>
    </row>
    <row r="46">
      <c r="B46" s="14" t="n"/>
      <c r="C46" s="14" t="n"/>
      <c r="D46" s="14" t="n"/>
      <c r="E46" s="23" t="n"/>
      <c r="F46" s="25" t="n"/>
      <c r="G46" s="26" t="n"/>
      <c r="H46" s="12" t="str">
        <f>IF(OR(F46="",G46=""),"",F46*G46)</f>
        <v/>
      </c>
      <c r="I46" s="18" t="str">
        <f>IF(E46="","",MAX(0,(YEAR($C$6)-YEAR(E46))*12+MONTH($C$6)-MONTH(E46)-IF(DAY($C$6)&lt;DAY(E46),1,0)))</f>
        <v/>
      </c>
      <c r="J46" s="27" t="str">
        <f>IF(I46="","",IF(I46&gt;=$C$8,"Dormant &gt; "&amp;$C$8&amp;" mois",IF(I46&gt;=$C$7,"Dormant","Actif")))</f>
        <v/>
      </c>
    </row>
    <row r="47">
      <c r="B47" s="14" t="n"/>
      <c r="C47" s="14" t="n"/>
      <c r="D47" s="14" t="n"/>
      <c r="E47" s="23" t="n"/>
      <c r="F47" s="25" t="n"/>
      <c r="G47" s="26" t="n"/>
      <c r="H47" s="12" t="str">
        <f>IF(OR(F47="",G47=""),"",F47*G47)</f>
        <v/>
      </c>
      <c r="I47" s="18" t="str">
        <f>IF(E47="","",MAX(0,(YEAR($C$6)-YEAR(E47))*12+MONTH($C$6)-MONTH(E47)-IF(DAY($C$6)&lt;DAY(E47),1,0)))</f>
        <v/>
      </c>
      <c r="J47" s="27" t="str">
        <f>IF(I47="","",IF(I47&gt;=$C$8,"Dormant &gt; "&amp;$C$8&amp;" mois",IF(I47&gt;=$C$7,"Dormant","Actif")))</f>
        <v/>
      </c>
    </row>
    <row r="48">
      <c r="B48" s="14" t="n"/>
      <c r="C48" s="14" t="n"/>
      <c r="D48" s="14" t="n"/>
      <c r="E48" s="23" t="n"/>
      <c r="F48" s="25" t="n"/>
      <c r="G48" s="26" t="n"/>
      <c r="H48" s="12" t="str">
        <f>IF(OR(F48="",G48=""),"",F48*G48)</f>
        <v/>
      </c>
      <c r="I48" s="18" t="str">
        <f>IF(E48="","",MAX(0,(YEAR($C$6)-YEAR(E48))*12+MONTH($C$6)-MONTH(E48)-IF(DAY($C$6)&lt;DAY(E48),1,0)))</f>
        <v/>
      </c>
      <c r="J48" s="27" t="str">
        <f>IF(I48="","",IF(I48&gt;=$C$8,"Dormant &gt; "&amp;$C$8&amp;" mois",IF(I48&gt;=$C$7,"Dormant","Actif")))</f>
        <v/>
      </c>
    </row>
    <row r="49">
      <c r="B49" s="14" t="n"/>
      <c r="C49" s="14" t="n"/>
      <c r="D49" s="14" t="n"/>
      <c r="E49" s="23" t="n"/>
      <c r="F49" s="25" t="n"/>
      <c r="G49" s="26" t="n"/>
      <c r="H49" s="12" t="str">
        <f>IF(OR(F49="",G49=""),"",F49*G49)</f>
        <v/>
      </c>
      <c r="I49" s="18" t="str">
        <f>IF(E49="","",MAX(0,(YEAR($C$6)-YEAR(E49))*12+MONTH($C$6)-MONTH(E49)-IF(DAY($C$6)&lt;DAY(E49),1,0)))</f>
        <v/>
      </c>
      <c r="J49" s="27" t="str">
        <f>IF(I49="","",IF(I49&gt;=$C$8,"Dormant &gt; "&amp;$C$8&amp;" mois",IF(I49&gt;=$C$7,"Dormant","Actif")))</f>
        <v/>
      </c>
    </row>
    <row r="50">
      <c r="B50" s="14" t="n"/>
      <c r="C50" s="14" t="n"/>
      <c r="D50" s="14" t="n"/>
      <c r="E50" s="23" t="n"/>
      <c r="F50" s="25" t="n"/>
      <c r="G50" s="26" t="n"/>
      <c r="H50" s="12" t="str">
        <f>IF(OR(F50="",G50=""),"",F50*G50)</f>
        <v/>
      </c>
      <c r="I50" s="18" t="str">
        <f>IF(E50="","",MAX(0,(YEAR($C$6)-YEAR(E50))*12+MONTH($C$6)-MONTH(E50)-IF(DAY($C$6)&lt;DAY(E50),1,0)))</f>
        <v/>
      </c>
      <c r="J50" s="27" t="str">
        <f>IF(I50="","",IF(I50&gt;=$C$8,"Dormant &gt; "&amp;$C$8&amp;" mois",IF(I50&gt;=$C$7,"Dormant","Actif")))</f>
        <v/>
      </c>
    </row>
    <row r="51">
      <c r="B51" s="14" t="n"/>
      <c r="C51" s="14" t="n"/>
      <c r="D51" s="14" t="n"/>
      <c r="E51" s="23" t="n"/>
      <c r="F51" s="25" t="n"/>
      <c r="G51" s="26" t="n"/>
      <c r="H51" s="12" t="str">
        <f>IF(OR(F51="",G51=""),"",F51*G51)</f>
        <v/>
      </c>
      <c r="I51" s="18" t="str">
        <f>IF(E51="","",MAX(0,(YEAR($C$6)-YEAR(E51))*12+MONTH($C$6)-MONTH(E51)-IF(DAY($C$6)&lt;DAY(E51),1,0)))</f>
        <v/>
      </c>
      <c r="J51" s="27" t="str">
        <f>IF(I51="","",IF(I51&gt;=$C$8,"Dormant &gt; "&amp;$C$8&amp;" mois",IF(I51&gt;=$C$7,"Dormant","Actif")))</f>
        <v/>
      </c>
    </row>
    <row r="52">
      <c r="B52" s="14" t="n"/>
      <c r="C52" s="14" t="n"/>
      <c r="D52" s="14" t="n"/>
      <c r="E52" s="23" t="n"/>
      <c r="F52" s="25" t="n"/>
      <c r="G52" s="26" t="n"/>
      <c r="H52" s="12" t="str">
        <f>IF(OR(F52="",G52=""),"",F52*G52)</f>
        <v/>
      </c>
      <c r="I52" s="18" t="str">
        <f>IF(E52="","",MAX(0,(YEAR($C$6)-YEAR(E52))*12+MONTH($C$6)-MONTH(E52)-IF(DAY($C$6)&lt;DAY(E52),1,0)))</f>
        <v/>
      </c>
      <c r="J52" s="27" t="str">
        <f>IF(I52="","",IF(I52&gt;=$C$8,"Dormant &gt; "&amp;$C$8&amp;" mois",IF(I52&gt;=$C$7,"Dormant","Actif")))</f>
        <v/>
      </c>
    </row>
    <row r="53">
      <c r="B53" s="14" t="n"/>
      <c r="C53" s="14" t="n"/>
      <c r="D53" s="14" t="n"/>
      <c r="E53" s="23" t="n"/>
      <c r="F53" s="25" t="n"/>
      <c r="G53" s="26" t="n"/>
      <c r="H53" s="12" t="str">
        <f>IF(OR(F53="",G53=""),"",F53*G53)</f>
        <v/>
      </c>
      <c r="I53" s="18" t="str">
        <f>IF(E53="","",MAX(0,(YEAR($C$6)-YEAR(E53))*12+MONTH($C$6)-MONTH(E53)-IF(DAY($C$6)&lt;DAY(E53),1,0)))</f>
        <v/>
      </c>
      <c r="J53" s="27" t="str">
        <f>IF(I53="","",IF(I53&gt;=$C$8,"Dormant &gt; "&amp;$C$8&amp;" mois",IF(I53&gt;=$C$7,"Dormant","Actif")))</f>
        <v/>
      </c>
    </row>
    <row r="54">
      <c r="B54" s="14" t="n"/>
      <c r="C54" s="14" t="n"/>
      <c r="D54" s="14" t="n"/>
      <c r="E54" s="23" t="n"/>
      <c r="F54" s="25" t="n"/>
      <c r="G54" s="26" t="n"/>
      <c r="H54" s="12" t="str">
        <f>IF(OR(F54="",G54=""),"",F54*G54)</f>
        <v/>
      </c>
      <c r="I54" s="18" t="str">
        <f>IF(E54="","",MAX(0,(YEAR($C$6)-YEAR(E54))*12+MONTH($C$6)-MONTH(E54)-IF(DAY($C$6)&lt;DAY(E54),1,0)))</f>
        <v/>
      </c>
      <c r="J54" s="27" t="str">
        <f>IF(I54="","",IF(I54&gt;=$C$8,"Dormant &gt; "&amp;$C$8&amp;" mois",IF(I54&gt;=$C$7,"Dormant","Actif")))</f>
        <v/>
      </c>
    </row>
    <row r="55">
      <c r="B55" s="14" t="n"/>
      <c r="C55" s="14" t="n"/>
      <c r="D55" s="14" t="n"/>
      <c r="E55" s="23" t="n"/>
      <c r="F55" s="25" t="n"/>
      <c r="G55" s="26" t="n"/>
      <c r="H55" s="12" t="str">
        <f>IF(OR(F55="",G55=""),"",F55*G55)</f>
        <v/>
      </c>
      <c r="I55" s="18" t="str">
        <f>IF(E55="","",MAX(0,(YEAR($C$6)-YEAR(E55))*12+MONTH($C$6)-MONTH(E55)-IF(DAY($C$6)&lt;DAY(E55),1,0)))</f>
        <v/>
      </c>
      <c r="J55" s="27" t="str">
        <f>IF(I55="","",IF(I55&gt;=$C$8,"Dormant &gt; "&amp;$C$8&amp;" mois",IF(I55&gt;=$C$7,"Dormant","Actif")))</f>
        <v/>
      </c>
    </row>
    <row r="56">
      <c r="B56" s="14" t="n"/>
      <c r="C56" s="14" t="n"/>
      <c r="D56" s="14" t="n"/>
      <c r="E56" s="23" t="n"/>
      <c r="F56" s="25" t="n"/>
      <c r="G56" s="26" t="n"/>
      <c r="H56" s="12" t="str">
        <f>IF(OR(F56="",G56=""),"",F56*G56)</f>
        <v/>
      </c>
      <c r="I56" s="18" t="str">
        <f>IF(E56="","",MAX(0,(YEAR($C$6)-YEAR(E56))*12+MONTH($C$6)-MONTH(E56)-IF(DAY($C$6)&lt;DAY(E56),1,0)))</f>
        <v/>
      </c>
      <c r="J56" s="27" t="str">
        <f>IF(I56="","",IF(I56&gt;=$C$8,"Dormant &gt; "&amp;$C$8&amp;" mois",IF(I56&gt;=$C$7,"Dormant","Actif")))</f>
        <v/>
      </c>
    </row>
    <row r="57">
      <c r="B57" s="14" t="n"/>
      <c r="C57" s="14" t="n"/>
      <c r="D57" s="14" t="n"/>
      <c r="E57" s="23" t="n"/>
      <c r="F57" s="25" t="n"/>
      <c r="G57" s="26" t="n"/>
      <c r="H57" s="12" t="str">
        <f>IF(OR(F57="",G57=""),"",F57*G57)</f>
        <v/>
      </c>
      <c r="I57" s="18" t="str">
        <f>IF(E57="","",MAX(0,(YEAR($C$6)-YEAR(E57))*12+MONTH($C$6)-MONTH(E57)-IF(DAY($C$6)&lt;DAY(E57),1,0)))</f>
        <v/>
      </c>
      <c r="J57" s="27" t="str">
        <f>IF(I57="","",IF(I57&gt;=$C$8,"Dormant &gt; "&amp;$C$8&amp;" mois",IF(I57&gt;=$C$7,"Dormant","Actif")))</f>
        <v/>
      </c>
    </row>
    <row r="58">
      <c r="B58" s="14" t="n"/>
      <c r="C58" s="14" t="n"/>
      <c r="D58" s="14" t="n"/>
      <c r="E58" s="23" t="n"/>
      <c r="F58" s="25" t="n"/>
      <c r="G58" s="26" t="n"/>
      <c r="H58" s="12" t="str">
        <f>IF(OR(F58="",G58=""),"",F58*G58)</f>
        <v/>
      </c>
      <c r="I58" s="18" t="str">
        <f>IF(E58="","",MAX(0,(YEAR($C$6)-YEAR(E58))*12+MONTH($C$6)-MONTH(E58)-IF(DAY($C$6)&lt;DAY(E58),1,0)))</f>
        <v/>
      </c>
      <c r="J58" s="27" t="str">
        <f>IF(I58="","",IF(I58&gt;=$C$8,"Dormant &gt; "&amp;$C$8&amp;" mois",IF(I58&gt;=$C$7,"Dormant","Actif")))</f>
        <v/>
      </c>
    </row>
    <row r="59">
      <c r="B59" s="14" t="n"/>
      <c r="C59" s="14" t="n"/>
      <c r="D59" s="14" t="n"/>
      <c r="E59" s="23" t="n"/>
      <c r="F59" s="25" t="n"/>
      <c r="G59" s="26" t="n"/>
      <c r="H59" s="12" t="str">
        <f>IF(OR(F59="",G59=""),"",F59*G59)</f>
        <v/>
      </c>
      <c r="I59" s="18" t="str">
        <f>IF(E59="","",MAX(0,(YEAR($C$6)-YEAR(E59))*12+MONTH($C$6)-MONTH(E59)-IF(DAY($C$6)&lt;DAY(E59),1,0)))</f>
        <v/>
      </c>
      <c r="J59" s="27" t="str">
        <f>IF(I59="","",IF(I59&gt;=$C$8,"Dormant &gt; "&amp;$C$8&amp;" mois",IF(I59&gt;=$C$7,"Dormant","Actif")))</f>
        <v/>
      </c>
    </row>
    <row r="60">
      <c r="B60" s="14" t="n"/>
      <c r="C60" s="14" t="n"/>
      <c r="D60" s="14" t="n"/>
      <c r="E60" s="23" t="n"/>
      <c r="F60" s="25" t="n"/>
      <c r="G60" s="26" t="n"/>
      <c r="H60" s="12" t="str">
        <f>IF(OR(F60="",G60=""),"",F60*G60)</f>
        <v/>
      </c>
      <c r="I60" s="18" t="str">
        <f>IF(E60="","",MAX(0,(YEAR($C$6)-YEAR(E60))*12+MONTH($C$6)-MONTH(E60)-IF(DAY($C$6)&lt;DAY(E60),1,0)))</f>
        <v/>
      </c>
      <c r="J60" s="27" t="str">
        <f>IF(I60="","",IF(I60&gt;=$C$8,"Dormant &gt; "&amp;$C$8&amp;" mois",IF(I60&gt;=$C$7,"Dormant","Actif")))</f>
        <v/>
      </c>
    </row>
    <row r="61">
      <c r="B61" s="14" t="n"/>
      <c r="C61" s="14" t="n"/>
      <c r="D61" s="14" t="n"/>
      <c r="E61" s="23" t="n"/>
      <c r="F61" s="25" t="n"/>
      <c r="G61" s="26" t="n"/>
      <c r="H61" s="12" t="str">
        <f>IF(OR(F61="",G61=""),"",F61*G61)</f>
        <v/>
      </c>
      <c r="I61" s="18" t="str">
        <f>IF(E61="","",MAX(0,(YEAR($C$6)-YEAR(E61))*12+MONTH($C$6)-MONTH(E61)-IF(DAY($C$6)&lt;DAY(E61),1,0)))</f>
        <v/>
      </c>
      <c r="J61" s="27" t="str">
        <f>IF(I61="","",IF(I61&gt;=$C$8,"Dormant &gt; "&amp;$C$8&amp;" mois",IF(I61&gt;=$C$7,"Dormant","Actif")))</f>
        <v/>
      </c>
    </row>
    <row r="62">
      <c r="B62" s="14" t="n"/>
      <c r="C62" s="14" t="n"/>
      <c r="D62" s="14" t="n"/>
      <c r="E62" s="23" t="n"/>
      <c r="F62" s="25" t="n"/>
      <c r="G62" s="26" t="n"/>
      <c r="H62" s="12" t="str">
        <f>IF(OR(F62="",G62=""),"",F62*G62)</f>
        <v/>
      </c>
      <c r="I62" s="18" t="str">
        <f>IF(E62="","",MAX(0,(YEAR($C$6)-YEAR(E62))*12+MONTH($C$6)-MONTH(E62)-IF(DAY($C$6)&lt;DAY(E62),1,0)))</f>
        <v/>
      </c>
      <c r="J62" s="27" t="str">
        <f>IF(I62="","",IF(I62&gt;=$C$8,"Dormant &gt; "&amp;$C$8&amp;" mois",IF(I62&gt;=$C$7,"Dormant","Actif")))</f>
        <v/>
      </c>
    </row>
    <row r="63">
      <c r="B63" s="14" t="n"/>
      <c r="C63" s="14" t="n"/>
      <c r="D63" s="14" t="n"/>
      <c r="E63" s="23" t="n"/>
      <c r="F63" s="25" t="n"/>
      <c r="G63" s="26" t="n"/>
      <c r="H63" s="12" t="str">
        <f>IF(OR(F63="",G63=""),"",F63*G63)</f>
        <v/>
      </c>
      <c r="I63" s="18" t="str">
        <f>IF(E63="","",MAX(0,(YEAR($C$6)-YEAR(E63))*12+MONTH($C$6)-MONTH(E63)-IF(DAY($C$6)&lt;DAY(E63),1,0)))</f>
        <v/>
      </c>
      <c r="J63" s="27" t="str">
        <f>IF(I63="","",IF(I63&gt;=$C$8,"Dormant &gt; "&amp;$C$8&amp;" mois",IF(I63&gt;=$C$7,"Dormant","Actif")))</f>
        <v/>
      </c>
    </row>
    <row r="64">
      <c r="B64" s="14" t="n"/>
      <c r="C64" s="14" t="n"/>
      <c r="D64" s="14" t="n"/>
      <c r="E64" s="23" t="n"/>
      <c r="F64" s="25" t="n"/>
      <c r="G64" s="26" t="n"/>
      <c r="H64" s="12" t="str">
        <f>IF(OR(F64="",G64=""),"",F64*G64)</f>
        <v/>
      </c>
      <c r="I64" s="18" t="str">
        <f>IF(E64="","",MAX(0,(YEAR($C$6)-YEAR(E64))*12+MONTH($C$6)-MONTH(E64)-IF(DAY($C$6)&lt;DAY(E64),1,0)))</f>
        <v/>
      </c>
      <c r="J64" s="27" t="str">
        <f>IF(I64="","",IF(I64&gt;=$C$8,"Dormant &gt; "&amp;$C$8&amp;" mois",IF(I64&gt;=$C$7,"Dormant","Actif")))</f>
        <v/>
      </c>
    </row>
    <row r="65">
      <c r="B65" s="14" t="n"/>
      <c r="C65" s="14" t="n"/>
      <c r="D65" s="14" t="n"/>
      <c r="E65" s="23" t="n"/>
      <c r="F65" s="25" t="n"/>
      <c r="G65" s="26" t="n"/>
      <c r="H65" s="12" t="str">
        <f>IF(OR(F65="",G65=""),"",F65*G65)</f>
        <v/>
      </c>
      <c r="I65" s="18" t="str">
        <f>IF(E65="","",MAX(0,(YEAR($C$6)-YEAR(E65))*12+MONTH($C$6)-MONTH(E65)-IF(DAY($C$6)&lt;DAY(E65),1,0)))</f>
        <v/>
      </c>
      <c r="J65" s="27" t="str">
        <f>IF(I65="","",IF(I65&gt;=$C$8,"Dormant &gt; "&amp;$C$8&amp;" mois",IF(I65&gt;=$C$7,"Dormant","Actif")))</f>
        <v/>
      </c>
    </row>
    <row r="66">
      <c r="B66" s="14" t="n"/>
      <c r="C66" s="14" t="n"/>
      <c r="D66" s="14" t="n"/>
      <c r="E66" s="23" t="n"/>
      <c r="F66" s="25" t="n"/>
      <c r="G66" s="26" t="n"/>
      <c r="H66" s="12" t="str">
        <f>IF(OR(F66="",G66=""),"",F66*G66)</f>
        <v/>
      </c>
      <c r="I66" s="18" t="str">
        <f>IF(E66="","",MAX(0,(YEAR($C$6)-YEAR(E66))*12+MONTH($C$6)-MONTH(E66)-IF(DAY($C$6)&lt;DAY(E66),1,0)))</f>
        <v/>
      </c>
      <c r="J66" s="27" t="str">
        <f>IF(I66="","",IF(I66&gt;=$C$8,"Dormant &gt; "&amp;$C$8&amp;" mois",IF(I66&gt;=$C$7,"Dormant","Actif")))</f>
        <v/>
      </c>
    </row>
    <row r="67">
      <c r="B67" s="14" t="n"/>
      <c r="C67" s="14" t="n"/>
      <c r="D67" s="14" t="n"/>
      <c r="E67" s="23" t="n"/>
      <c r="F67" s="25" t="n"/>
      <c r="G67" s="26" t="n"/>
      <c r="H67" s="12" t="str">
        <f>IF(OR(F67="",G67=""),"",F67*G67)</f>
        <v/>
      </c>
      <c r="I67" s="18" t="str">
        <f>IF(E67="","",MAX(0,(YEAR($C$6)-YEAR(E67))*12+MONTH($C$6)-MONTH(E67)-IF(DAY($C$6)&lt;DAY(E67),1,0)))</f>
        <v/>
      </c>
      <c r="J67" s="27" t="str">
        <f>IF(I67="","",IF(I67&gt;=$C$8,"Dormant &gt; "&amp;$C$8&amp;" mois",IF(I67&gt;=$C$7,"Dormant","Actif")))</f>
        <v/>
      </c>
    </row>
    <row r="68">
      <c r="B68" s="14" t="n"/>
      <c r="C68" s="14" t="n"/>
      <c r="D68" s="14" t="n"/>
      <c r="E68" s="23" t="n"/>
      <c r="F68" s="25" t="n"/>
      <c r="G68" s="26" t="n"/>
      <c r="H68" s="12" t="str">
        <f>IF(OR(F68="",G68=""),"",F68*G68)</f>
        <v/>
      </c>
      <c r="I68" s="18" t="str">
        <f>IF(E68="","",MAX(0,(YEAR($C$6)-YEAR(E68))*12+MONTH($C$6)-MONTH(E68)-IF(DAY($C$6)&lt;DAY(E68),1,0)))</f>
        <v/>
      </c>
      <c r="J68" s="27" t="str">
        <f>IF(I68="","",IF(I68&gt;=$C$8,"Dormant &gt; "&amp;$C$8&amp;" mois",IF(I68&gt;=$C$7,"Dormant","Actif")))</f>
        <v/>
      </c>
    </row>
    <row r="69">
      <c r="B69" s="14" t="n"/>
      <c r="C69" s="14" t="n"/>
      <c r="D69" s="14" t="n"/>
      <c r="E69" s="23" t="n"/>
      <c r="F69" s="25" t="n"/>
      <c r="G69" s="26" t="n"/>
      <c r="H69" s="12" t="str">
        <f>IF(OR(F69="",G69=""),"",F69*G69)</f>
        <v/>
      </c>
      <c r="I69" s="18" t="str">
        <f>IF(E69="","",MAX(0,(YEAR($C$6)-YEAR(E69))*12+MONTH($C$6)-MONTH(E69)-IF(DAY($C$6)&lt;DAY(E69),1,0)))</f>
        <v/>
      </c>
      <c r="J69" s="27" t="str">
        <f>IF(I69="","",IF(I69&gt;=$C$8,"Dormant &gt; "&amp;$C$8&amp;" mois",IF(I69&gt;=$C$7,"Dormant","Actif")))</f>
        <v/>
      </c>
    </row>
    <row r="70">
      <c r="B70" s="14" t="n"/>
      <c r="C70" s="14" t="n"/>
      <c r="D70" s="14" t="n"/>
      <c r="E70" s="23" t="n"/>
      <c r="F70" s="25" t="n"/>
      <c r="G70" s="26" t="n"/>
      <c r="H70" s="12" t="str">
        <f>IF(OR(F70="",G70=""),"",F70*G70)</f>
        <v/>
      </c>
      <c r="I70" s="18" t="str">
        <f>IF(E70="","",MAX(0,(YEAR($C$6)-YEAR(E70))*12+MONTH($C$6)-MONTH(E70)-IF(DAY($C$6)&lt;DAY(E70),1,0)))</f>
        <v/>
      </c>
      <c r="J70" s="27" t="str">
        <f>IF(I70="","",IF(I70&gt;=$C$8,"Dormant &gt; "&amp;$C$8&amp;" mois",IF(I70&gt;=$C$7,"Dormant","Actif")))</f>
        <v/>
      </c>
    </row>
    <row r="71">
      <c r="B71" s="14" t="n"/>
      <c r="C71" s="14" t="n"/>
      <c r="D71" s="14" t="n"/>
      <c r="E71" s="23" t="n"/>
      <c r="F71" s="25" t="n"/>
      <c r="G71" s="26" t="n"/>
      <c r="H71" s="12" t="str">
        <f>IF(OR(F71="",G71=""),"",F71*G71)</f>
        <v/>
      </c>
      <c r="I71" s="18" t="str">
        <f>IF(E71="","",MAX(0,(YEAR($C$6)-YEAR(E71))*12+MONTH($C$6)-MONTH(E71)-IF(DAY($C$6)&lt;DAY(E71),1,0)))</f>
        <v/>
      </c>
      <c r="J71" s="27" t="str">
        <f>IF(I71="","",IF(I71&gt;=$C$8,"Dormant &gt; "&amp;$C$8&amp;" mois",IF(I71&gt;=$C$7,"Dormant","Actif")))</f>
        <v/>
      </c>
    </row>
    <row r="72">
      <c r="B72" s="14" t="n"/>
      <c r="C72" s="14" t="n"/>
      <c r="D72" s="14" t="n"/>
      <c r="E72" s="23" t="n"/>
      <c r="F72" s="25" t="n"/>
      <c r="G72" s="26" t="n"/>
      <c r="H72" s="12" t="str">
        <f>IF(OR(F72="",G72=""),"",F72*G72)</f>
        <v/>
      </c>
      <c r="I72" s="18" t="str">
        <f>IF(E72="","",MAX(0,(YEAR($C$6)-YEAR(E72))*12+MONTH($C$6)-MONTH(E72)-IF(DAY($C$6)&lt;DAY(E72),1,0)))</f>
        <v/>
      </c>
      <c r="J72" s="27" t="str">
        <f>IF(I72="","",IF(I72&gt;=$C$8,"Dormant &gt; "&amp;$C$8&amp;" mois",IF(I72&gt;=$C$7,"Dormant","Actif")))</f>
        <v/>
      </c>
    </row>
    <row r="73">
      <c r="B73" s="14" t="n"/>
      <c r="C73" s="14" t="n"/>
      <c r="D73" s="14" t="n"/>
      <c r="E73" s="23" t="n"/>
      <c r="F73" s="25" t="n"/>
      <c r="G73" s="26" t="n"/>
      <c r="H73" s="12" t="str">
        <f>IF(OR(F73="",G73=""),"",F73*G73)</f>
        <v/>
      </c>
      <c r="I73" s="18" t="str">
        <f>IF(E73="","",MAX(0,(YEAR($C$6)-YEAR(E73))*12+MONTH($C$6)-MONTH(E73)-IF(DAY($C$6)&lt;DAY(E73),1,0)))</f>
        <v/>
      </c>
      <c r="J73" s="27" t="str">
        <f>IF(I73="","",IF(I73&gt;=$C$8,"Dormant &gt; "&amp;$C$8&amp;" mois",IF(I73&gt;=$C$7,"Dormant","Actif")))</f>
        <v/>
      </c>
    </row>
    <row r="74">
      <c r="B74" s="14" t="n"/>
      <c r="C74" s="14" t="n"/>
      <c r="D74" s="14" t="n"/>
      <c r="E74" s="23" t="n"/>
      <c r="F74" s="25" t="n"/>
      <c r="G74" s="26" t="n"/>
      <c r="H74" s="12" t="str">
        <f>IF(OR(F74="",G74=""),"",F74*G74)</f>
        <v/>
      </c>
      <c r="I74" s="18" t="str">
        <f>IF(E74="","",MAX(0,(YEAR($C$6)-YEAR(E74))*12+MONTH($C$6)-MONTH(E74)-IF(DAY($C$6)&lt;DAY(E74),1,0)))</f>
        <v/>
      </c>
      <c r="J74" s="27" t="str">
        <f>IF(I74="","",IF(I74&gt;=$C$8,"Dormant &gt; "&amp;$C$8&amp;" mois",IF(I74&gt;=$C$7,"Dormant","Actif")))</f>
        <v/>
      </c>
    </row>
    <row r="75">
      <c r="B75" s="14" t="n"/>
      <c r="C75" s="14" t="n"/>
      <c r="D75" s="14" t="n"/>
      <c r="E75" s="23" t="n"/>
      <c r="F75" s="25" t="n"/>
      <c r="G75" s="26" t="n"/>
      <c r="H75" s="12" t="str">
        <f>IF(OR(F75="",G75=""),"",F75*G75)</f>
        <v/>
      </c>
      <c r="I75" s="18" t="str">
        <f>IF(E75="","",MAX(0,(YEAR($C$6)-YEAR(E75))*12+MONTH($C$6)-MONTH(E75)-IF(DAY($C$6)&lt;DAY(E75),1,0)))</f>
        <v/>
      </c>
      <c r="J75" s="27" t="str">
        <f>IF(I75="","",IF(I75&gt;=$C$8,"Dormant &gt; "&amp;$C$8&amp;" mois",IF(I75&gt;=$C$7,"Dormant","Actif")))</f>
        <v/>
      </c>
    </row>
    <row r="76">
      <c r="B76" s="14" t="n"/>
      <c r="C76" s="14" t="n"/>
      <c r="D76" s="14" t="n"/>
      <c r="E76" s="23" t="n"/>
      <c r="F76" s="25" t="n"/>
      <c r="G76" s="26" t="n"/>
      <c r="H76" s="12" t="str">
        <f>IF(OR(F76="",G76=""),"",F76*G76)</f>
        <v/>
      </c>
      <c r="I76" s="18" t="str">
        <f>IF(E76="","",MAX(0,(YEAR($C$6)-YEAR(E76))*12+MONTH($C$6)-MONTH(E76)-IF(DAY($C$6)&lt;DAY(E76),1,0)))</f>
        <v/>
      </c>
      <c r="J76" s="27" t="str">
        <f>IF(I76="","",IF(I76&gt;=$C$8,"Dormant &gt; "&amp;$C$8&amp;" mois",IF(I76&gt;=$C$7,"Dormant","Actif")))</f>
        <v/>
      </c>
    </row>
    <row r="77">
      <c r="B77" s="14" t="n"/>
      <c r="C77" s="14" t="n"/>
      <c r="D77" s="14" t="n"/>
      <c r="E77" s="23" t="n"/>
      <c r="F77" s="25" t="n"/>
      <c r="G77" s="26" t="n"/>
      <c r="H77" s="12" t="str">
        <f>IF(OR(F77="",G77=""),"",F77*G77)</f>
        <v/>
      </c>
      <c r="I77" s="18" t="str">
        <f>IF(E77="","",MAX(0,(YEAR($C$6)-YEAR(E77))*12+MONTH($C$6)-MONTH(E77)-IF(DAY($C$6)&lt;DAY(E77),1,0)))</f>
        <v/>
      </c>
      <c r="J77" s="27" t="str">
        <f>IF(I77="","",IF(I77&gt;=$C$8,"Dormant &gt; "&amp;$C$8&amp;" mois",IF(I77&gt;=$C$7,"Dormant","Actif")))</f>
        <v/>
      </c>
    </row>
    <row r="78">
      <c r="B78" s="14" t="n"/>
      <c r="C78" s="14" t="n"/>
      <c r="D78" s="14" t="n"/>
      <c r="E78" s="23" t="n"/>
      <c r="F78" s="25" t="n"/>
      <c r="G78" s="26" t="n"/>
      <c r="H78" s="12" t="str">
        <f>IF(OR(F78="",G78=""),"",F78*G78)</f>
        <v/>
      </c>
      <c r="I78" s="18" t="str">
        <f>IF(E78="","",MAX(0,(YEAR($C$6)-YEAR(E78))*12+MONTH($C$6)-MONTH(E78)-IF(DAY($C$6)&lt;DAY(E78),1,0)))</f>
        <v/>
      </c>
      <c r="J78" s="27" t="str">
        <f>IF(I78="","",IF(I78&gt;=$C$8,"Dormant &gt; "&amp;$C$8&amp;" mois",IF(I78&gt;=$C$7,"Dormant","Actif")))</f>
        <v/>
      </c>
    </row>
    <row r="79">
      <c r="B79" s="14" t="n"/>
      <c r="C79" s="14" t="n"/>
      <c r="D79" s="14" t="n"/>
      <c r="E79" s="23" t="n"/>
      <c r="F79" s="25" t="n"/>
      <c r="G79" s="26" t="n"/>
      <c r="H79" s="12" t="str">
        <f>IF(OR(F79="",G79=""),"",F79*G79)</f>
        <v/>
      </c>
      <c r="I79" s="18" t="str">
        <f>IF(E79="","",MAX(0,(YEAR($C$6)-YEAR(E79))*12+MONTH($C$6)-MONTH(E79)-IF(DAY($C$6)&lt;DAY(E79),1,0)))</f>
        <v/>
      </c>
      <c r="J79" s="27" t="str">
        <f>IF(I79="","",IF(I79&gt;=$C$8,"Dormant &gt; "&amp;$C$8&amp;" mois",IF(I79&gt;=$C$7,"Dormant","Actif")))</f>
        <v/>
      </c>
    </row>
    <row r="80">
      <c r="B80" s="14" t="n"/>
      <c r="C80" s="14" t="n"/>
      <c r="D80" s="14" t="n"/>
      <c r="E80" s="23" t="n"/>
      <c r="F80" s="25" t="n"/>
      <c r="G80" s="26" t="n"/>
      <c r="H80" s="12" t="str">
        <f>IF(OR(F80="",G80=""),"",F80*G80)</f>
        <v/>
      </c>
      <c r="I80" s="18" t="str">
        <f>IF(E80="","",MAX(0,(YEAR($C$6)-YEAR(E80))*12+MONTH($C$6)-MONTH(E80)-IF(DAY($C$6)&lt;DAY(E80),1,0)))</f>
        <v/>
      </c>
      <c r="J80" s="27" t="str">
        <f>IF(I80="","",IF(I80&gt;=$C$8,"Dormant &gt; "&amp;$C$8&amp;" mois",IF(I80&gt;=$C$7,"Dormant","Actif")))</f>
        <v/>
      </c>
    </row>
    <row r="81">
      <c r="B81" s="14" t="n"/>
      <c r="C81" s="14" t="n"/>
      <c r="D81" s="14" t="n"/>
      <c r="E81" s="23" t="n"/>
      <c r="F81" s="25" t="n"/>
      <c r="G81" s="26" t="n"/>
      <c r="H81" s="12" t="str">
        <f>IF(OR(F81="",G81=""),"",F81*G81)</f>
        <v/>
      </c>
      <c r="I81" s="18" t="str">
        <f>IF(E81="","",MAX(0,(YEAR($C$6)-YEAR(E81))*12+MONTH($C$6)-MONTH(E81)-IF(DAY($C$6)&lt;DAY(E81),1,0)))</f>
        <v/>
      </c>
      <c r="J81" s="27" t="str">
        <f>IF(I81="","",IF(I81&gt;=$C$8,"Dormant &gt; "&amp;$C$8&amp;" mois",IF(I81&gt;=$C$7,"Dormant","Actif")))</f>
        <v/>
      </c>
    </row>
    <row r="82">
      <c r="B82" s="14" t="n"/>
      <c r="C82" s="14" t="n"/>
      <c r="D82" s="14" t="n"/>
      <c r="E82" s="23" t="n"/>
      <c r="F82" s="25" t="n"/>
      <c r="G82" s="26" t="n"/>
      <c r="H82" s="12" t="str">
        <f>IF(OR(F82="",G82=""),"",F82*G82)</f>
        <v/>
      </c>
      <c r="I82" s="18" t="str">
        <f>IF(E82="","",MAX(0,(YEAR($C$6)-YEAR(E82))*12+MONTH($C$6)-MONTH(E82)-IF(DAY($C$6)&lt;DAY(E82),1,0)))</f>
        <v/>
      </c>
      <c r="J82" s="27" t="str">
        <f>IF(I82="","",IF(I82&gt;=$C$8,"Dormant &gt; "&amp;$C$8&amp;" mois",IF(I82&gt;=$C$7,"Dormant","Actif")))</f>
        <v/>
      </c>
    </row>
    <row r="83">
      <c r="B83" s="14" t="n"/>
      <c r="C83" s="14" t="n"/>
      <c r="D83" s="14" t="n"/>
      <c r="E83" s="23" t="n"/>
      <c r="F83" s="25" t="n"/>
      <c r="G83" s="26" t="n"/>
      <c r="H83" s="12" t="str">
        <f>IF(OR(F83="",G83=""),"",F83*G83)</f>
        <v/>
      </c>
      <c r="I83" s="18" t="str">
        <f>IF(E83="","",MAX(0,(YEAR($C$6)-YEAR(E83))*12+MONTH($C$6)-MONTH(E83)-IF(DAY($C$6)&lt;DAY(E83),1,0)))</f>
        <v/>
      </c>
      <c r="J83" s="27" t="str">
        <f>IF(I83="","",IF(I83&gt;=$C$8,"Dormant &gt; "&amp;$C$8&amp;" mois",IF(I83&gt;=$C$7,"Dormant","Actif")))</f>
        <v/>
      </c>
    </row>
    <row r="84">
      <c r="B84" s="14" t="n"/>
      <c r="C84" s="14" t="n"/>
      <c r="D84" s="14" t="n"/>
      <c r="E84" s="23" t="n"/>
      <c r="F84" s="25" t="n"/>
      <c r="G84" s="26" t="n"/>
      <c r="H84" s="12" t="str">
        <f>IF(OR(F84="",G84=""),"",F84*G84)</f>
        <v/>
      </c>
      <c r="I84" s="18" t="str">
        <f>IF(E84="","",MAX(0,(YEAR($C$6)-YEAR(E84))*12+MONTH($C$6)-MONTH(E84)-IF(DAY($C$6)&lt;DAY(E84),1,0)))</f>
        <v/>
      </c>
      <c r="J84" s="27" t="str">
        <f>IF(I84="","",IF(I84&gt;=$C$8,"Dormant &gt; "&amp;$C$8&amp;" mois",IF(I84&gt;=$C$7,"Dormant","Actif")))</f>
        <v/>
      </c>
    </row>
    <row r="85">
      <c r="B85" s="14" t="n"/>
      <c r="C85" s="14" t="n"/>
      <c r="D85" s="14" t="n"/>
      <c r="E85" s="23" t="n"/>
      <c r="F85" s="25" t="n"/>
      <c r="G85" s="26" t="n"/>
      <c r="H85" s="12" t="str">
        <f>IF(OR(F85="",G85=""),"",F85*G85)</f>
        <v/>
      </c>
      <c r="I85" s="18" t="str">
        <f>IF(E85="","",MAX(0,(YEAR($C$6)-YEAR(E85))*12+MONTH($C$6)-MONTH(E85)-IF(DAY($C$6)&lt;DAY(E85),1,0)))</f>
        <v/>
      </c>
      <c r="J85" s="27" t="str">
        <f>IF(I85="","",IF(I85&gt;=$C$8,"Dormant &gt; "&amp;$C$8&amp;" mois",IF(I85&gt;=$C$7,"Dormant","Actif")))</f>
        <v/>
      </c>
    </row>
    <row r="86">
      <c r="B86" s="14" t="n"/>
      <c r="C86" s="14" t="n"/>
      <c r="D86" s="14" t="n"/>
      <c r="E86" s="23" t="n"/>
      <c r="F86" s="25" t="n"/>
      <c r="G86" s="26" t="n"/>
      <c r="H86" s="12" t="str">
        <f>IF(OR(F86="",G86=""),"",F86*G86)</f>
        <v/>
      </c>
      <c r="I86" s="18" t="str">
        <f>IF(E86="","",MAX(0,(YEAR($C$6)-YEAR(E86))*12+MONTH($C$6)-MONTH(E86)-IF(DAY($C$6)&lt;DAY(E86),1,0)))</f>
        <v/>
      </c>
      <c r="J86" s="27" t="str">
        <f>IF(I86="","",IF(I86&gt;=$C$8,"Dormant &gt; "&amp;$C$8&amp;" mois",IF(I86&gt;=$C$7,"Dormant","Actif")))</f>
        <v/>
      </c>
    </row>
    <row r="87">
      <c r="B87" s="14" t="n"/>
      <c r="C87" s="14" t="n"/>
      <c r="D87" s="14" t="n"/>
      <c r="E87" s="23" t="n"/>
      <c r="F87" s="25" t="n"/>
      <c r="G87" s="26" t="n"/>
      <c r="H87" s="12" t="str">
        <f>IF(OR(F87="",G87=""),"",F87*G87)</f>
        <v/>
      </c>
      <c r="I87" s="18" t="str">
        <f>IF(E87="","",MAX(0,(YEAR($C$6)-YEAR(E87))*12+MONTH($C$6)-MONTH(E87)-IF(DAY($C$6)&lt;DAY(E87),1,0)))</f>
        <v/>
      </c>
      <c r="J87" s="27" t="str">
        <f>IF(I87="","",IF(I87&gt;=$C$8,"Dormant &gt; "&amp;$C$8&amp;" mois",IF(I87&gt;=$C$7,"Dormant","Actif")))</f>
        <v/>
      </c>
    </row>
    <row r="88">
      <c r="B88" s="14" t="n"/>
      <c r="C88" s="14" t="n"/>
      <c r="D88" s="14" t="n"/>
      <c r="E88" s="23" t="n"/>
      <c r="F88" s="25" t="n"/>
      <c r="G88" s="26" t="n"/>
      <c r="H88" s="12" t="str">
        <f>IF(OR(F88="",G88=""),"",F88*G88)</f>
        <v/>
      </c>
      <c r="I88" s="18" t="str">
        <f>IF(E88="","",MAX(0,(YEAR($C$6)-YEAR(E88))*12+MONTH($C$6)-MONTH(E88)-IF(DAY($C$6)&lt;DAY(E88),1,0)))</f>
        <v/>
      </c>
      <c r="J88" s="27" t="str">
        <f>IF(I88="","",IF(I88&gt;=$C$8,"Dormant &gt; "&amp;$C$8&amp;" mois",IF(I88&gt;=$C$7,"Dormant","Actif")))</f>
        <v/>
      </c>
    </row>
    <row r="89">
      <c r="B89" s="14" t="n"/>
      <c r="C89" s="14" t="n"/>
      <c r="D89" s="14" t="n"/>
      <c r="E89" s="23" t="n"/>
      <c r="F89" s="25" t="n"/>
      <c r="G89" s="26" t="n"/>
      <c r="H89" s="12" t="str">
        <f>IF(OR(F89="",G89=""),"",F89*G89)</f>
        <v/>
      </c>
      <c r="I89" s="18" t="str">
        <f>IF(E89="","",MAX(0,(YEAR($C$6)-YEAR(E89))*12+MONTH($C$6)-MONTH(E89)-IF(DAY($C$6)&lt;DAY(E89),1,0)))</f>
        <v/>
      </c>
      <c r="J89" s="27" t="str">
        <f>IF(I89="","",IF(I89&gt;=$C$8,"Dormant &gt; "&amp;$C$8&amp;" mois",IF(I89&gt;=$C$7,"Dormant","Actif")))</f>
        <v/>
      </c>
    </row>
    <row r="90">
      <c r="B90" s="14" t="n"/>
      <c r="C90" s="14" t="n"/>
      <c r="D90" s="14" t="n"/>
      <c r="E90" s="23" t="n"/>
      <c r="F90" s="25" t="n"/>
      <c r="G90" s="26" t="n"/>
      <c r="H90" s="12" t="str">
        <f>IF(OR(F90="",G90=""),"",F90*G90)</f>
        <v/>
      </c>
      <c r="I90" s="18" t="str">
        <f>IF(E90="","",MAX(0,(YEAR($C$6)-YEAR(E90))*12+MONTH($C$6)-MONTH(E90)-IF(DAY($C$6)&lt;DAY(E90),1,0)))</f>
        <v/>
      </c>
      <c r="J90" s="27" t="str">
        <f>IF(I90="","",IF(I90&gt;=$C$8,"Dormant &gt; "&amp;$C$8&amp;" mois",IF(I90&gt;=$C$7,"Dormant","Actif")))</f>
        <v/>
      </c>
    </row>
    <row r="91">
      <c r="B91" s="14" t="n"/>
      <c r="C91" s="14" t="n"/>
      <c r="D91" s="14" t="n"/>
      <c r="E91" s="23" t="n"/>
      <c r="F91" s="25" t="n"/>
      <c r="G91" s="26" t="n"/>
      <c r="H91" s="12" t="str">
        <f>IF(OR(F91="",G91=""),"",F91*G91)</f>
        <v/>
      </c>
      <c r="I91" s="18" t="str">
        <f>IF(E91="","",MAX(0,(YEAR($C$6)-YEAR(E91))*12+MONTH($C$6)-MONTH(E91)-IF(DAY($C$6)&lt;DAY(E91),1,0)))</f>
        <v/>
      </c>
      <c r="J91" s="27" t="str">
        <f>IF(I91="","",IF(I91&gt;=$C$8,"Dormant &gt; "&amp;$C$8&amp;" mois",IF(I91&gt;=$C$7,"Dormant","Actif")))</f>
        <v/>
      </c>
    </row>
    <row r="92">
      <c r="B92" s="14" t="n"/>
      <c r="C92" s="14" t="n"/>
      <c r="D92" s="14" t="n"/>
      <c r="E92" s="23" t="n"/>
      <c r="F92" s="25" t="n"/>
      <c r="G92" s="26" t="n"/>
      <c r="H92" s="12" t="str">
        <f>IF(OR(F92="",G92=""),"",F92*G92)</f>
        <v/>
      </c>
      <c r="I92" s="18" t="str">
        <f>IF(E92="","",MAX(0,(YEAR($C$6)-YEAR(E92))*12+MONTH($C$6)-MONTH(E92)-IF(DAY($C$6)&lt;DAY(E92),1,0)))</f>
        <v/>
      </c>
      <c r="J92" s="27" t="str">
        <f>IF(I92="","",IF(I92&gt;=$C$8,"Dormant &gt; "&amp;$C$8&amp;" mois",IF(I92&gt;=$C$7,"Dormant","Actif")))</f>
        <v/>
      </c>
    </row>
    <row r="93">
      <c r="B93" s="14" t="n"/>
      <c r="C93" s="14" t="n"/>
      <c r="D93" s="14" t="n"/>
      <c r="E93" s="23" t="n"/>
      <c r="F93" s="25" t="n"/>
      <c r="G93" s="26" t="n"/>
      <c r="H93" s="12" t="str">
        <f>IF(OR(F93="",G93=""),"",F93*G93)</f>
        <v/>
      </c>
      <c r="I93" s="18" t="str">
        <f>IF(E93="","",MAX(0,(YEAR($C$6)-YEAR(E93))*12+MONTH($C$6)-MONTH(E93)-IF(DAY($C$6)&lt;DAY(E93),1,0)))</f>
        <v/>
      </c>
      <c r="J93" s="27" t="str">
        <f>IF(I93="","",IF(I93&gt;=$C$8,"Dormant &gt; "&amp;$C$8&amp;" mois",IF(I93&gt;=$C$7,"Dormant","Actif")))</f>
        <v/>
      </c>
    </row>
    <row r="94">
      <c r="B94" s="14" t="n"/>
      <c r="C94" s="14" t="n"/>
      <c r="D94" s="14" t="n"/>
      <c r="E94" s="23" t="n"/>
      <c r="F94" s="25" t="n"/>
      <c r="G94" s="26" t="n"/>
      <c r="H94" s="12" t="str">
        <f>IF(OR(F94="",G94=""),"",F94*G94)</f>
        <v/>
      </c>
      <c r="I94" s="18" t="str">
        <f>IF(E94="","",MAX(0,(YEAR($C$6)-YEAR(E94))*12+MONTH($C$6)-MONTH(E94)-IF(DAY($C$6)&lt;DAY(E94),1,0)))</f>
        <v/>
      </c>
      <c r="J94" s="27" t="str">
        <f>IF(I94="","",IF(I94&gt;=$C$8,"Dormant &gt; "&amp;$C$8&amp;" mois",IF(I94&gt;=$C$7,"Dormant","Actif")))</f>
        <v/>
      </c>
    </row>
    <row r="95">
      <c r="B95" s="14" t="n"/>
      <c r="C95" s="14" t="n"/>
      <c r="D95" s="14" t="n"/>
      <c r="E95" s="23" t="n"/>
      <c r="F95" s="25" t="n"/>
      <c r="G95" s="26" t="n"/>
      <c r="H95" s="12" t="str">
        <f>IF(OR(F95="",G95=""),"",F95*G95)</f>
        <v/>
      </c>
      <c r="I95" s="18" t="str">
        <f>IF(E95="","",MAX(0,(YEAR($C$6)-YEAR(E95))*12+MONTH($C$6)-MONTH(E95)-IF(DAY($C$6)&lt;DAY(E95),1,0)))</f>
        <v/>
      </c>
      <c r="J95" s="27" t="str">
        <f>IF(I95="","",IF(I95&gt;=$C$8,"Dormant &gt; "&amp;$C$8&amp;" mois",IF(I95&gt;=$C$7,"Dormant","Actif")))</f>
        <v/>
      </c>
    </row>
    <row r="96">
      <c r="B96" s="14" t="n"/>
      <c r="C96" s="14" t="n"/>
      <c r="D96" s="14" t="n"/>
      <c r="E96" s="23" t="n"/>
      <c r="F96" s="25" t="n"/>
      <c r="G96" s="26" t="n"/>
      <c r="H96" s="12" t="str">
        <f>IF(OR(F96="",G96=""),"",F96*G96)</f>
        <v/>
      </c>
      <c r="I96" s="18" t="str">
        <f>IF(E96="","",MAX(0,(YEAR($C$6)-YEAR(E96))*12+MONTH($C$6)-MONTH(E96)-IF(DAY($C$6)&lt;DAY(E96),1,0)))</f>
        <v/>
      </c>
      <c r="J96" s="27" t="str">
        <f>IF(I96="","",IF(I96&gt;=$C$8,"Dormant &gt; "&amp;$C$8&amp;" mois",IF(I96&gt;=$C$7,"Dormant","Actif")))</f>
        <v/>
      </c>
    </row>
    <row r="97">
      <c r="B97" s="14" t="n"/>
      <c r="C97" s="14" t="n"/>
      <c r="D97" s="14" t="n"/>
      <c r="E97" s="23" t="n"/>
      <c r="F97" s="25" t="n"/>
      <c r="G97" s="26" t="n"/>
      <c r="H97" s="12" t="str">
        <f>IF(OR(F97="",G97=""),"",F97*G97)</f>
        <v/>
      </c>
      <c r="I97" s="18" t="str">
        <f>IF(E97="","",MAX(0,(YEAR($C$6)-YEAR(E97))*12+MONTH($C$6)-MONTH(E97)-IF(DAY($C$6)&lt;DAY(E97),1,0)))</f>
        <v/>
      </c>
      <c r="J97" s="27" t="str">
        <f>IF(I97="","",IF(I97&gt;=$C$8,"Dormant &gt; "&amp;$C$8&amp;" mois",IF(I97&gt;=$C$7,"Dormant","Actif")))</f>
        <v/>
      </c>
    </row>
    <row r="98">
      <c r="B98" s="14" t="n"/>
      <c r="C98" s="14" t="n"/>
      <c r="D98" s="14" t="n"/>
      <c r="E98" s="23" t="n"/>
      <c r="F98" s="25" t="n"/>
      <c r="G98" s="26" t="n"/>
      <c r="H98" s="12" t="str">
        <f>IF(OR(F98="",G98=""),"",F98*G98)</f>
        <v/>
      </c>
      <c r="I98" s="18" t="str">
        <f>IF(E98="","",MAX(0,(YEAR($C$6)-YEAR(E98))*12+MONTH($C$6)-MONTH(E98)-IF(DAY($C$6)&lt;DAY(E98),1,0)))</f>
        <v/>
      </c>
      <c r="J98" s="27" t="str">
        <f>IF(I98="","",IF(I98&gt;=$C$8,"Dormant &gt; "&amp;$C$8&amp;" mois",IF(I98&gt;=$C$7,"Dormant","Actif")))</f>
        <v/>
      </c>
    </row>
    <row r="99">
      <c r="B99" s="14" t="n"/>
      <c r="C99" s="14" t="n"/>
      <c r="D99" s="14" t="n"/>
      <c r="E99" s="23" t="n"/>
      <c r="F99" s="25" t="n"/>
      <c r="G99" s="26" t="n"/>
      <c r="H99" s="12" t="str">
        <f>IF(OR(F99="",G99=""),"",F99*G99)</f>
        <v/>
      </c>
      <c r="I99" s="18" t="str">
        <f>IF(E99="","",MAX(0,(YEAR($C$6)-YEAR(E99))*12+MONTH($C$6)-MONTH(E99)-IF(DAY($C$6)&lt;DAY(E99),1,0)))</f>
        <v/>
      </c>
      <c r="J99" s="27" t="str">
        <f>IF(I99="","",IF(I99&gt;=$C$8,"Dormant &gt; "&amp;$C$8&amp;" mois",IF(I99&gt;=$C$7,"Dormant","Actif")))</f>
        <v/>
      </c>
    </row>
    <row r="100">
      <c r="B100" s="14" t="n"/>
      <c r="C100" s="14" t="n"/>
      <c r="D100" s="14" t="n"/>
      <c r="E100" s="23" t="n"/>
      <c r="F100" s="25" t="n"/>
      <c r="G100" s="26" t="n"/>
      <c r="H100" s="12" t="str">
        <f>IF(OR(F100="",G100=""),"",F100*G100)</f>
        <v/>
      </c>
      <c r="I100" s="18" t="str">
        <f>IF(E100="","",MAX(0,(YEAR($C$6)-YEAR(E100))*12+MONTH($C$6)-MONTH(E100)-IF(DAY($C$6)&lt;DAY(E100),1,0)))</f>
        <v/>
      </c>
      <c r="J100" s="27" t="str">
        <f>IF(I100="","",IF(I100&gt;=$C$8,"Dormant &gt; "&amp;$C$8&amp;" mois",IF(I100&gt;=$C$7,"Dormant","Actif")))</f>
        <v/>
      </c>
    </row>
    <row r="101">
      <c r="B101" s="14" t="n"/>
      <c r="C101" s="14" t="n"/>
      <c r="D101" s="14" t="n"/>
      <c r="E101" s="23" t="n"/>
      <c r="F101" s="25" t="n"/>
      <c r="G101" s="26" t="n"/>
      <c r="H101" s="12" t="str">
        <f>IF(OR(F101="",G101=""),"",F101*G101)</f>
        <v/>
      </c>
      <c r="I101" s="18" t="str">
        <f>IF(E101="","",MAX(0,(YEAR($C$6)-YEAR(E101))*12+MONTH($C$6)-MONTH(E101)-IF(DAY($C$6)&lt;DAY(E101),1,0)))</f>
        <v/>
      </c>
      <c r="J101" s="27" t="str">
        <f>IF(I101="","",IF(I101&gt;=$C$8,"Dormant &gt; "&amp;$C$8&amp;" mois",IF(I101&gt;=$C$7,"Dormant","Actif")))</f>
        <v/>
      </c>
    </row>
    <row r="102">
      <c r="B102" s="14" t="n"/>
      <c r="C102" s="14" t="n"/>
      <c r="D102" s="14" t="n"/>
      <c r="E102" s="23" t="n"/>
      <c r="F102" s="25" t="n"/>
      <c r="G102" s="26" t="n"/>
      <c r="H102" s="12" t="str">
        <f>IF(OR(F102="",G102=""),"",F102*G102)</f>
        <v/>
      </c>
      <c r="I102" s="18" t="str">
        <f>IF(E102="","",MAX(0,(YEAR($C$6)-YEAR(E102))*12+MONTH($C$6)-MONTH(E102)-IF(DAY($C$6)&lt;DAY(E102),1,0)))</f>
        <v/>
      </c>
      <c r="J102" s="27" t="str">
        <f>IF(I102="","",IF(I102&gt;=$C$8,"Dormant &gt; "&amp;$C$8&amp;" mois",IF(I102&gt;=$C$7,"Dormant","Actif")))</f>
        <v/>
      </c>
    </row>
    <row r="103">
      <c r="B103" s="14" t="n"/>
      <c r="C103" s="14" t="n"/>
      <c r="D103" s="14" t="n"/>
      <c r="E103" s="23" t="n"/>
      <c r="F103" s="25" t="n"/>
      <c r="G103" s="26" t="n"/>
      <c r="H103" s="12" t="str">
        <f>IF(OR(F103="",G103=""),"",F103*G103)</f>
        <v/>
      </c>
      <c r="I103" s="18" t="str">
        <f>IF(E103="","",MAX(0,(YEAR($C$6)-YEAR(E103))*12+MONTH($C$6)-MONTH(E103)-IF(DAY($C$6)&lt;DAY(E103),1,0)))</f>
        <v/>
      </c>
      <c r="J103" s="27" t="str">
        <f>IF(I103="","",IF(I103&gt;=$C$8,"Dormant &gt; "&amp;$C$8&amp;" mois",IF(I103&gt;=$C$7,"Dormant","Actif")))</f>
        <v/>
      </c>
    </row>
    <row r="104">
      <c r="B104" s="14" t="n"/>
      <c r="C104" s="14" t="n"/>
      <c r="D104" s="14" t="n"/>
      <c r="E104" s="23" t="n"/>
      <c r="F104" s="25" t="n"/>
      <c r="G104" s="26" t="n"/>
      <c r="H104" s="12" t="str">
        <f>IF(OR(F104="",G104=""),"",F104*G104)</f>
        <v/>
      </c>
      <c r="I104" s="18" t="str">
        <f>IF(E104="","",MAX(0,(YEAR($C$6)-YEAR(E104))*12+MONTH($C$6)-MONTH(E104)-IF(DAY($C$6)&lt;DAY(E104),1,0)))</f>
        <v/>
      </c>
      <c r="J104" s="27" t="str">
        <f>IF(I104="","",IF(I104&gt;=$C$8,"Dormant &gt; "&amp;$C$8&amp;" mois",IF(I104&gt;=$C$7,"Dormant","Actif")))</f>
        <v/>
      </c>
    </row>
    <row r="105">
      <c r="B105" s="14" t="n"/>
      <c r="C105" s="14" t="n"/>
      <c r="D105" s="14" t="n"/>
      <c r="E105" s="23" t="n"/>
      <c r="F105" s="25" t="n"/>
      <c r="G105" s="26" t="n"/>
      <c r="H105" s="12" t="str">
        <f>IF(OR(F105="",G105=""),"",F105*G105)</f>
        <v/>
      </c>
      <c r="I105" s="18" t="str">
        <f>IF(E105="","",MAX(0,(YEAR($C$6)-YEAR(E105))*12+MONTH($C$6)-MONTH(E105)-IF(DAY($C$6)&lt;DAY(E105),1,0)))</f>
        <v/>
      </c>
      <c r="J105" s="27" t="str">
        <f>IF(I105="","",IF(I105&gt;=$C$8,"Dormant &gt; "&amp;$C$8&amp;" mois",IF(I105&gt;=$C$7,"Dormant","Actif")))</f>
        <v/>
      </c>
    </row>
    <row r="106">
      <c r="B106" s="14" t="n"/>
      <c r="C106" s="14" t="n"/>
      <c r="D106" s="14" t="n"/>
      <c r="E106" s="23" t="n"/>
      <c r="F106" s="25" t="n"/>
      <c r="G106" s="26" t="n"/>
      <c r="H106" s="12" t="str">
        <f>IF(OR(F106="",G106=""),"",F106*G106)</f>
        <v/>
      </c>
      <c r="I106" s="18" t="str">
        <f>IF(E106="","",MAX(0,(YEAR($C$6)-YEAR(E106))*12+MONTH($C$6)-MONTH(E106)-IF(DAY($C$6)&lt;DAY(E106),1,0)))</f>
        <v/>
      </c>
      <c r="J106" s="27" t="str">
        <f>IF(I106="","",IF(I106&gt;=$C$8,"Dormant &gt; "&amp;$C$8&amp;" mois",IF(I106&gt;=$C$7,"Dormant","Actif")))</f>
        <v/>
      </c>
    </row>
    <row r="107">
      <c r="B107" s="14" t="n"/>
      <c r="C107" s="14" t="n"/>
      <c r="D107" s="14" t="n"/>
      <c r="E107" s="23" t="n"/>
      <c r="F107" s="25" t="n"/>
      <c r="G107" s="26" t="n"/>
      <c r="H107" s="12" t="str">
        <f>IF(OR(F107="",G107=""),"",F107*G107)</f>
        <v/>
      </c>
      <c r="I107" s="18" t="str">
        <f>IF(E107="","",MAX(0,(YEAR($C$6)-YEAR(E107))*12+MONTH($C$6)-MONTH(E107)-IF(DAY($C$6)&lt;DAY(E107),1,0)))</f>
        <v/>
      </c>
      <c r="J107" s="27" t="str">
        <f>IF(I107="","",IF(I107&gt;=$C$8,"Dormant &gt; "&amp;$C$8&amp;" mois",IF(I107&gt;=$C$7,"Dormant","Actif")))</f>
        <v/>
      </c>
    </row>
    <row r="108">
      <c r="B108" s="14" t="n"/>
      <c r="C108" s="14" t="n"/>
      <c r="D108" s="14" t="n"/>
      <c r="E108" s="23" t="n"/>
      <c r="F108" s="25" t="n"/>
      <c r="G108" s="26" t="n"/>
      <c r="H108" s="12" t="str">
        <f>IF(OR(F108="",G108=""),"",F108*G108)</f>
        <v/>
      </c>
      <c r="I108" s="18" t="str">
        <f>IF(E108="","",MAX(0,(YEAR($C$6)-YEAR(E108))*12+MONTH($C$6)-MONTH(E108)-IF(DAY($C$6)&lt;DAY(E108),1,0)))</f>
        <v/>
      </c>
      <c r="J108" s="27" t="str">
        <f>IF(I108="","",IF(I108&gt;=$C$8,"Dormant &gt; "&amp;$C$8&amp;" mois",IF(I108&gt;=$C$7,"Dormant","Actif")))</f>
        <v/>
      </c>
    </row>
    <row r="109">
      <c r="B109" s="14" t="n"/>
      <c r="C109" s="14" t="n"/>
      <c r="D109" s="14" t="n"/>
      <c r="E109" s="23" t="n"/>
      <c r="F109" s="25" t="n"/>
      <c r="G109" s="26" t="n"/>
      <c r="H109" s="12" t="str">
        <f>IF(OR(F109="",G109=""),"",F109*G109)</f>
        <v/>
      </c>
      <c r="I109" s="18" t="str">
        <f>IF(E109="","",MAX(0,(YEAR($C$6)-YEAR(E109))*12+MONTH($C$6)-MONTH(E109)-IF(DAY($C$6)&lt;DAY(E109),1,0)))</f>
        <v/>
      </c>
      <c r="J109" s="27" t="str">
        <f>IF(I109="","",IF(I109&gt;=$C$8,"Dormant &gt; "&amp;$C$8&amp;" mois",IF(I109&gt;=$C$7,"Dormant","Actif")))</f>
        <v/>
      </c>
    </row>
    <row r="110">
      <c r="B110" s="14" t="n"/>
      <c r="C110" s="14" t="n"/>
      <c r="D110" s="14" t="n"/>
      <c r="E110" s="23" t="n"/>
      <c r="F110" s="25" t="n"/>
      <c r="G110" s="26" t="n"/>
      <c r="H110" s="12" t="str">
        <f>IF(OR(F110="",G110=""),"",F110*G110)</f>
        <v/>
      </c>
      <c r="I110" s="18" t="str">
        <f>IF(E110="","",MAX(0,(YEAR($C$6)-YEAR(E110))*12+MONTH($C$6)-MONTH(E110)-IF(DAY($C$6)&lt;DAY(E110),1,0)))</f>
        <v/>
      </c>
      <c r="J110" s="27" t="str">
        <f>IF(I110="","",IF(I110&gt;=$C$8,"Dormant &gt; "&amp;$C$8&amp;" mois",IF(I110&gt;=$C$7,"Dormant","Actif")))</f>
        <v/>
      </c>
    </row>
    <row r="112">
      <c r="B112" s="7" t="inlineStr">
        <is>
          <t>FG Conseils PME, www.fgconseilspme.fr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D11:D110" showDropDown="0" showInputMessage="0" showErrorMessage="0" allowBlank="1" type="list">
      <formula1>='Jours de stock'!$B$11:$B$25</formula1>
    </dataValidation>
  </dataValidations>
  <pageMargins left="0.75" right="0.75" top="1" bottom="1" header="0.5" footer="0.5"/>
  <pageSetup orientation="landscape" fitToHeight="0" fitToWidth="1"/>
  <headerFooter>
    <oddHeader/>
    <oddFooter>&amp;C&amp;"Arial"&amp;9 FG Conseils PME, www.fgconseilspme.fr</oddFooter>
    <evenHeader/>
    <evenFooter>&amp;CFG Conseils PME, www.fgconseilspme.fr</evenFooter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7" customWidth="1" min="3" max="3"/>
    <col width="17" customWidth="1" min="4" max="4"/>
    <col width="17" customWidth="1" min="5" max="5"/>
    <col width="19" customWidth="1" min="6" max="6"/>
    <col width="19" customWidth="1" min="7" max="7"/>
  </cols>
  <sheetData>
    <row r="2">
      <c r="B2" s="1" t="inlineStr">
        <is>
          <t>HAUSSE FOURNISSEUR : L'EFFET SUR VOTRE MARGE</t>
        </is>
      </c>
    </row>
    <row r="3">
      <c r="B3" s="2" t="inlineStr">
        <is>
          <t>Simulation à volumes de vente inchangés, sur 12 mois, en euros HT.</t>
        </is>
      </c>
    </row>
    <row r="4">
      <c r="B4" s="8" t="inlineStr">
        <is>
          <t>EXEMPLE FICTIF déjà rempli (un négoce de 2,4 M€ de chiffre d'affaires) : remplacez les cellules jaunes par vos propres chiffres.</t>
        </is>
      </c>
    </row>
    <row r="6">
      <c r="B6" s="9" t="inlineStr">
        <is>
          <t>Famille concernée (liste de l'onglet « Jours de stock »)</t>
        </is>
      </c>
      <c r="C6" s="14" t="inlineStr">
        <is>
          <t>Chauffage</t>
        </is>
      </c>
      <c r="D6" s="29" t="n"/>
    </row>
    <row r="7">
      <c r="B7" s="9" t="inlineStr">
        <is>
          <t>Hausse des tarifs fournisseurs</t>
        </is>
      </c>
      <c r="C7" s="30" t="n">
        <v>0.05</v>
      </c>
    </row>
    <row r="8">
      <c r="B8" s="9" t="inlineStr">
        <is>
          <t>Part de la hausse répercutée sur vos prix de vente</t>
        </is>
      </c>
      <c r="C8" s="31" t="n">
        <v>0.6</v>
      </c>
    </row>
    <row r="9">
      <c r="B9" s="32" t="inlineStr">
        <is>
          <t>CA HT annuel (facultatif : remplace celui de la famille)</t>
        </is>
      </c>
      <c r="C9" s="15" t="n"/>
    </row>
    <row r="10">
      <c r="B10" s="32" t="inlineStr">
        <is>
          <t>Coût d'achat annuel (facultatif : remplace celui de la famille)</t>
        </is>
      </c>
      <c r="C10" s="15" t="n"/>
    </row>
    <row r="12">
      <c r="B12" s="9" t="inlineStr">
        <is>
          <t>CA HT annuel retenu</t>
        </is>
      </c>
      <c r="C12" s="12">
        <f>IF(C9&lt;&gt;"",C9,IFERROR(INDEX('Jours de stock'!$C$11:$C$25,MATCH(C6,'Jours de stock'!$B$11:$B$25,0)),0))</f>
        <v>600000</v>
      </c>
    </row>
    <row r="13">
      <c r="B13" s="9" t="inlineStr">
        <is>
          <t>Coût d'achat annuel retenu</t>
        </is>
      </c>
      <c r="C13" s="12">
        <f>IF(C10&lt;&gt;"",C10,IFERROR(INDEX('Jours de stock'!$D$11:$D$25,MATCH(C6,'Jours de stock'!$B$11:$B$25,0)),0))</f>
        <v>444000</v>
      </c>
    </row>
    <row r="15" ht="45" customHeight="1">
      <c r="B15" s="13" t="inlineStr">
        <is>
          <t>Indicateur</t>
        </is>
      </c>
      <c r="C15" s="13" t="inlineStr">
        <is>
          <t>Avant la hausse</t>
        </is>
      </c>
      <c r="D15" s="13" t="inlineStr">
        <is>
          <t>Hausse non répercutée</t>
        </is>
      </c>
      <c r="E15" s="13" t="inlineStr">
        <is>
          <t>Votre choix (part en C8)</t>
        </is>
      </c>
      <c r="F15" s="13" t="inlineStr">
        <is>
          <t>Hausse répercutée à 100 % (en €)</t>
        </is>
      </c>
      <c r="G15" s="13" t="inlineStr">
        <is>
          <t>Prix de vente + même % (taux maintenu)</t>
        </is>
      </c>
    </row>
    <row r="16">
      <c r="B16" s="9" t="inlineStr">
        <is>
          <t>Chiffre d'affaires HT</t>
        </is>
      </c>
      <c r="C16" s="12">
        <f>C12</f>
        <v>600000</v>
      </c>
      <c r="D16" s="12">
        <f>$C$12+$C$13*$C$7*0</f>
        <v>600000.0</v>
      </c>
      <c r="E16" s="12">
        <f>$C$12+$C$13*$C$7*$C$8</f>
        <v>613320.0</v>
      </c>
      <c r="F16" s="12">
        <f>$C$12+$C$13*$C$7*1</f>
        <v>622200.0</v>
      </c>
      <c r="G16" s="12">
        <f>$C$12*(1+$C$7)</f>
        <v>630000.0</v>
      </c>
    </row>
    <row r="17">
      <c r="B17" s="9" t="inlineStr">
        <is>
          <t>Coût d'achat des ventes</t>
        </is>
      </c>
      <c r="C17" s="12">
        <f>C13</f>
        <v>444000</v>
      </c>
      <c r="D17" s="12">
        <f>$C$13*(1+$C$7)</f>
        <v>466200.0</v>
      </c>
      <c r="E17" s="12">
        <f>$C$13*(1+$C$7)</f>
        <v>466200.0</v>
      </c>
      <c r="F17" s="12">
        <f>$C$13*(1+$C$7)</f>
        <v>466200.0</v>
      </c>
      <c r="G17" s="12">
        <f>$C$13*(1+$C$7)</f>
        <v>466200.0</v>
      </c>
    </row>
    <row r="18">
      <c r="B18" s="9" t="inlineStr">
        <is>
          <t>Marge commerciale</t>
        </is>
      </c>
      <c r="C18" s="12">
        <f>C16-C17</f>
        <v>156000.0</v>
      </c>
      <c r="D18" s="12">
        <f>D16-D17</f>
        <v>133800.0</v>
      </c>
      <c r="E18" s="12">
        <f>E16-E17</f>
        <v>147120.0</v>
      </c>
      <c r="F18" s="12">
        <f>F16-F17</f>
        <v>156000.0</v>
      </c>
      <c r="G18" s="12">
        <f>G16-G17</f>
        <v>163800.0</v>
      </c>
    </row>
    <row r="19">
      <c r="B19" s="9" t="inlineStr">
        <is>
          <t>Taux de marge</t>
        </is>
      </c>
      <c r="C19" s="17">
        <f>IF(C16=0,"",C18/C16)</f>
        <v>0.26</v>
      </c>
      <c r="D19" s="17">
        <f>IF(D16=0,"",D18/D16)</f>
        <v>0.223</v>
      </c>
      <c r="E19" s="17">
        <f>IF(E16=0,"",E18/E16)</f>
        <v>0.23987477988651928</v>
      </c>
      <c r="F19" s="17">
        <f>IF(F16=0,"",F18/F16)</f>
        <v>0.2507232401157184</v>
      </c>
      <c r="G19" s="17">
        <f>IF(G16=0,"",G18/G16)</f>
        <v>0.26</v>
      </c>
    </row>
    <row r="20">
      <c r="B20" s="9" t="inlineStr">
        <is>
          <t>Écart de marge en euros (par rapport à avant)</t>
        </is>
      </c>
      <c r="C20" s="12">
        <f>C18-$C$18</f>
        <v>0.0</v>
      </c>
      <c r="D20" s="12">
        <f>D18-$C$18</f>
        <v>-22200.0</v>
      </c>
      <c r="E20" s="12">
        <f>E18-$C$18</f>
        <v>-8880.0</v>
      </c>
      <c r="F20" s="12">
        <f>F18-$C$18</f>
        <v>0.0</v>
      </c>
      <c r="G20" s="12">
        <f>G18-$C$18</f>
        <v>7800.0</v>
      </c>
    </row>
    <row r="21">
      <c r="B21" s="9" t="inlineStr">
        <is>
          <t>Écart de taux de marge (en points)</t>
        </is>
      </c>
      <c r="C21" s="33">
        <f>IF(OR(C19="",$C$19=""),"",(C19-$C$19)*100)</f>
        <v>0.0</v>
      </c>
      <c r="D21" s="33">
        <f>IF(OR(D19="",$C$19=""),"",(D19-$C$19)*100)</f>
        <v>-3.7000000000000006</v>
      </c>
      <c r="E21" s="33">
        <f>IF(OR(E19="",$C$19=""),"",(E19-$C$19)*100)</f>
        <v>-2.0125220113480724</v>
      </c>
      <c r="F21" s="33">
        <f>IF(OR(F19="",$C$19=""),"",(F19-$C$19)*100)</f>
        <v>-0.9276759884281616</v>
      </c>
      <c r="G21" s="33">
        <f>IF(OR(G19="",$C$19=""),"",(G19-$C$19)*100)</f>
        <v>0.0</v>
      </c>
    </row>
    <row r="23">
      <c r="B23" s="3" t="inlineStr">
        <is>
          <t>CE QU'IL FAUT RETENIR</t>
        </is>
      </c>
    </row>
    <row r="24">
      <c r="B24" s="9" t="inlineStr">
        <is>
          <t>Hausse de vos prix nécessaire pour garder la marge en euros</t>
        </is>
      </c>
      <c r="C24" s="34">
        <f>IF(C12=0,"",C13*C7/C12)</f>
        <v>0.037</v>
      </c>
    </row>
    <row r="25">
      <c r="B25" s="9" t="inlineStr">
        <is>
          <t>Hausse de vos prix nécessaire pour garder le taux de marge</t>
        </is>
      </c>
      <c r="C25" s="34">
        <f>C7</f>
        <v>0.05</v>
      </c>
    </row>
    <row r="26">
      <c r="B26" s="9" t="inlineStr">
        <is>
          <t>Coût annuel de la hausse fournisseur</t>
        </is>
      </c>
      <c r="C26" s="12">
        <f>C13*C7</f>
        <v>22200.0</v>
      </c>
    </row>
    <row r="28">
      <c r="B28" s="2" t="inlineStr">
        <is>
          <t>Répercuter 100 % de la hausse en euros garde la marge en euros, mais le taux de marge baisse,</t>
        </is>
      </c>
    </row>
    <row r="29">
      <c r="B29" s="2" t="inlineStr">
        <is>
          <t>car le chiffre d'affaires augmente. Pour garder le même taux, il faut augmenter vos prix du même pourcentage.</t>
        </is>
      </c>
    </row>
    <row r="30">
      <c r="B30" s="2" t="inlineStr">
        <is>
          <t>Hypothèse : volumes vendus inchangés. Une hausse de prix peut faire varier les volumes : à apprécier client par client.</t>
        </is>
      </c>
    </row>
    <row r="32">
      <c r="B32" s="7" t="inlineStr">
        <is>
          <t>FG Conseils PME, www.fgconseilspme.fr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C6:D6"/>
  </mergeCells>
  <dataValidations count="2">
    <dataValidation sqref="C6" showDropDown="0" showInputMessage="0" showErrorMessage="0" allowBlank="1" type="list">
      <formula1>='Jours de stock'!$B$11:$B$25</formula1>
    </dataValidation>
    <dataValidation sqref="C8" showDropDown="0" showInputMessage="0" showErrorMessage="0" allowBlank="0" error="Saisissez un pourcentage entre 0 % et 1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headerFooter>
    <oddHeader/>
    <oddFooter>&amp;C&amp;"Arial"&amp;9 FG Conseils PME, www.fgconseilspme.fr</oddFooter>
    <evenHeader/>
    <evenFooter>&amp;CFG Conseils PME, www.fgconseilspme.fr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P26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5" customWidth="1" min="4" max="4"/>
    <col width="14" customWidth="1" min="5" max="5"/>
    <col width="10" customWidth="1" min="6" max="6"/>
    <col width="13" customWidth="1" min="7" max="7"/>
    <col width="13" customWidth="1" min="8" max="8"/>
    <col width="13" customWidth="1" min="9" max="9"/>
    <col width="15" customWidth="1" min="10" max="10"/>
    <col width="12" customWidth="1" min="11" max="11"/>
    <col width="14" customWidth="1" min="12" max="12"/>
    <col width="15" customWidth="1" min="13" max="13"/>
    <col width="14" customWidth="1" min="14" max="14"/>
    <col width="11" customWidth="1" min="15" max="15"/>
    <col width="11" customWidth="1" min="16" max="16"/>
  </cols>
  <sheetData>
    <row r="2">
      <c r="B2" s="1" t="inlineStr">
        <is>
          <t>MARGE ET CONTRIBUTION PAR POINT DE VENTE</t>
        </is>
      </c>
    </row>
    <row r="3">
      <c r="B3" s="2" t="inlineStr">
        <is>
          <t>Jusqu'à 10 magasins, agences ou dépôts. Montants annuels HT.</t>
        </is>
      </c>
    </row>
    <row r="4">
      <c r="B4" s="8" t="inlineStr">
        <is>
          <t>EXEMPLE FICTIF déjà rempli (un négoce de 2,4 M€ de chiffre d'affaires) : remplacez les cellules jaunes par vos propres chiffres.</t>
        </is>
      </c>
    </row>
    <row r="6" ht="28" customHeight="1">
      <c r="B6" s="9" t="inlineStr">
        <is>
          <t>Frais centraux annuels (siège, direction, comptabilité, logistique commune)</t>
        </is>
      </c>
      <c r="C6" s="15" t="n">
        <v>60000</v>
      </c>
    </row>
    <row r="7" ht="28" customHeight="1">
      <c r="B7" s="9" t="inlineStr">
        <is>
          <t>Convention de jours (reprise de l'onglet « Jours de stock »)</t>
        </is>
      </c>
      <c r="C7" s="18">
        <f>'Jours de stock'!C6</f>
        <v>365</v>
      </c>
    </row>
    <row r="9" ht="58" customHeight="1">
      <c r="B9" s="13" t="inlineStr">
        <is>
          <t>Point de vente</t>
        </is>
      </c>
      <c r="C9" s="13" t="inlineStr">
        <is>
          <t>CA HT</t>
        </is>
      </c>
      <c r="D9" s="13" t="inlineStr">
        <is>
          <t>Coût d'achat des ventes</t>
        </is>
      </c>
      <c r="E9" s="13" t="inlineStr">
        <is>
          <t>Marge commerciale</t>
        </is>
      </c>
      <c r="F9" s="13" t="inlineStr">
        <is>
          <t>Taux de marge</t>
        </is>
      </c>
      <c r="G9" s="13" t="inlineStr">
        <is>
          <t>Personnel</t>
        </is>
      </c>
      <c r="H9" s="13" t="inlineStr">
        <is>
          <t>Loyer et charges locatives</t>
        </is>
      </c>
      <c r="I9" s="13" t="inlineStr">
        <is>
          <t>Autres charges directes</t>
        </is>
      </c>
      <c r="J9" s="13" t="inlineStr">
        <is>
          <t>Contribution du point de vente</t>
        </is>
      </c>
      <c r="K9" s="13" t="inlineStr">
        <is>
          <t>Contribution en % du CA</t>
        </is>
      </c>
      <c r="L9" s="13" t="inlineStr">
        <is>
          <t>Quote-part frais centraux (prorata CA)</t>
        </is>
      </c>
      <c r="M9" s="13" t="inlineStr">
        <is>
          <t>Résultat après quote-part</t>
        </is>
      </c>
      <c r="N9" s="13" t="inlineStr">
        <is>
          <t>Stock moyen au coût d'achat</t>
        </is>
      </c>
      <c r="O9" s="13" t="inlineStr">
        <is>
          <t>Jours de stock</t>
        </is>
      </c>
      <c r="P9" s="13" t="inlineStr">
        <is>
          <t>Rang (contribution)</t>
        </is>
      </c>
    </row>
    <row r="10">
      <c r="B10" s="14" t="inlineStr">
        <is>
          <t>Point de vente 1 (centre-ville)</t>
        </is>
      </c>
      <c r="C10" s="15" t="n">
        <v>820000</v>
      </c>
      <c r="D10" s="15" t="n">
        <v>582200</v>
      </c>
      <c r="E10" s="12">
        <f>IF(OR(C10="",D10=""),"",C10-D10)</f>
        <v>237800.0</v>
      </c>
      <c r="F10" s="17">
        <f>IF(OR(E10="",C10=0),"",E10/C10)</f>
        <v>0.29</v>
      </c>
      <c r="G10" s="15" t="n">
        <v>120000</v>
      </c>
      <c r="H10" s="15" t="n">
        <v>48000</v>
      </c>
      <c r="I10" s="15" t="n">
        <v>22000</v>
      </c>
      <c r="J10" s="12">
        <f>IF(E10="","",E10-SUM(G10:I10))</f>
        <v>47800.0</v>
      </c>
      <c r="K10" s="17">
        <f>IF(OR(J10="",C10=0),"",J10/C10)</f>
        <v>0.05829268292682927</v>
      </c>
      <c r="L10" s="12">
        <f>IF(OR(C10="",$C$20=0),"",$C$6*C10/$C$20)</f>
        <v>20500.0</v>
      </c>
      <c r="M10" s="12">
        <f>IF(OR(J10="",L10=""),"",J10-L10)</f>
        <v>27300.0</v>
      </c>
      <c r="N10" s="15" t="n">
        <v>105000</v>
      </c>
      <c r="O10" s="16">
        <f>IF(OR(N10="",D10="",D10=0),"",N10/D10*$C$7)</f>
        <v>65.8278941944349</v>
      </c>
      <c r="P10" s="18">
        <f>IF(J10="","",RANK(J10,$J$10:$J$19,0))</f>
        <v>1.0</v>
      </c>
    </row>
    <row r="11">
      <c r="B11" s="14" t="inlineStr">
        <is>
          <t>Point de vente 2 (zone d'activité)</t>
        </is>
      </c>
      <c r="C11" s="15" t="n">
        <v>640000</v>
      </c>
      <c r="D11" s="15" t="n">
        <v>467200</v>
      </c>
      <c r="E11" s="12">
        <f>IF(OR(C11="",D11=""),"",C11-D11)</f>
        <v>172800.0</v>
      </c>
      <c r="F11" s="17">
        <f>IF(OR(E11="",C11=0),"",E11/C11)</f>
        <v>0.27</v>
      </c>
      <c r="G11" s="15" t="n">
        <v>98000</v>
      </c>
      <c r="H11" s="15" t="n">
        <v>30000</v>
      </c>
      <c r="I11" s="15" t="n">
        <v>16000</v>
      </c>
      <c r="J11" s="12">
        <f>IF(E11="","",E11-SUM(G11:I11))</f>
        <v>28800.0</v>
      </c>
      <c r="K11" s="17">
        <f>IF(OR(J11="",C11=0),"",J11/C11)</f>
        <v>0.045</v>
      </c>
      <c r="L11" s="12">
        <f>IF(OR(C11="",$C$20=0),"",$C$6*C11/$C$20)</f>
        <v>16000.0</v>
      </c>
      <c r="M11" s="12">
        <f>IF(OR(J11="",L11=""),"",J11-L11)</f>
        <v>12800.0</v>
      </c>
      <c r="N11" s="15" t="n">
        <v>92000</v>
      </c>
      <c r="O11" s="16">
        <f>IF(OR(N11="",D11="",D11=0),"",N11/D11*$C$7)</f>
        <v>71.875</v>
      </c>
      <c r="P11" s="18">
        <f>IF(J11="","",RANK(J11,$J$10:$J$19,0))</f>
        <v>2.0</v>
      </c>
    </row>
    <row r="12">
      <c r="B12" s="14" t="inlineStr">
        <is>
          <t>Point de vente 3 (galerie)</t>
        </is>
      </c>
      <c r="C12" s="15" t="n">
        <v>520000</v>
      </c>
      <c r="D12" s="15" t="n">
        <v>369200</v>
      </c>
      <c r="E12" s="12">
        <f>IF(OR(C12="",D12=""),"",C12-D12)</f>
        <v>150800.0</v>
      </c>
      <c r="F12" s="17">
        <f>IF(OR(E12="",C12=0),"",E12/C12)</f>
        <v>0.29</v>
      </c>
      <c r="G12" s="15" t="n">
        <v>92000</v>
      </c>
      <c r="H12" s="15" t="n">
        <v>42000</v>
      </c>
      <c r="I12" s="15" t="n">
        <v>15000</v>
      </c>
      <c r="J12" s="12">
        <f>IF(E12="","",E12-SUM(G12:I12))</f>
        <v>1800.0</v>
      </c>
      <c r="K12" s="17">
        <f>IF(OR(J12="",C12=0),"",J12/C12)</f>
        <v>0.0034615384615384616</v>
      </c>
      <c r="L12" s="12">
        <f>IF(OR(C12="",$C$20=0),"",$C$6*C12/$C$20)</f>
        <v>13000.0</v>
      </c>
      <c r="M12" s="12">
        <f>IF(OR(J12="",L12=""),"",J12-L12)</f>
        <v>-11200.0</v>
      </c>
      <c r="N12" s="15" t="n">
        <v>78000</v>
      </c>
      <c r="O12" s="16">
        <f>IF(OR(N12="",D12="",D12=0),"",N12/D12*$C$7)</f>
        <v>77.11267605633803</v>
      </c>
      <c r="P12" s="18">
        <f>IF(J12="","",RANK(J12,$J$10:$J$19,0))</f>
        <v>4.0</v>
      </c>
    </row>
    <row r="13">
      <c r="B13" s="14" t="inlineStr">
        <is>
          <t>Point de vente 4 (dépôt)</t>
        </is>
      </c>
      <c r="C13" s="15" t="n">
        <v>420000</v>
      </c>
      <c r="D13" s="15" t="n">
        <v>309400</v>
      </c>
      <c r="E13" s="12">
        <f>IF(OR(C13="",D13=""),"",C13-D13)</f>
        <v>110600.0</v>
      </c>
      <c r="F13" s="17">
        <f>IF(OR(E13="",C13=0),"",E13/C13)</f>
        <v>0.2633333333333333</v>
      </c>
      <c r="G13" s="15" t="n">
        <v>64000</v>
      </c>
      <c r="H13" s="15" t="n">
        <v>18000</v>
      </c>
      <c r="I13" s="15" t="n">
        <v>10000</v>
      </c>
      <c r="J13" s="12">
        <f>IF(E13="","",E13-SUM(G13:I13))</f>
        <v>18600.0</v>
      </c>
      <c r="K13" s="17">
        <f>IF(OR(J13="",C13=0),"",J13/C13)</f>
        <v>0.04428571428571428</v>
      </c>
      <c r="L13" s="12">
        <f>IF(OR(C13="",$C$20=0),"",$C$6*C13/$C$20)</f>
        <v>10500.0</v>
      </c>
      <c r="M13" s="12">
        <f>IF(OR(J13="",L13=""),"",J13-L13)</f>
        <v>8100.0</v>
      </c>
      <c r="N13" s="15" t="n">
        <v>55000</v>
      </c>
      <c r="O13" s="16">
        <f>IF(OR(N13="",D13="",D13=0),"",N13/D13*$C$7)</f>
        <v>64.88364576599871</v>
      </c>
      <c r="P13" s="18">
        <f>IF(J13="","",RANK(J13,$J$10:$J$19,0))</f>
        <v>3.0</v>
      </c>
    </row>
    <row r="14">
      <c r="B14" s="14" t="n"/>
      <c r="C14" s="15" t="n"/>
      <c r="D14" s="15" t="n"/>
      <c r="E14" s="12" t="str">
        <f>IF(OR(C14="",D14=""),"",C14-D14)</f>
        <v/>
      </c>
      <c r="F14" s="17" t="str">
        <f>IF(OR(E14="",C14=0),"",E14/C14)</f>
        <v/>
      </c>
      <c r="G14" s="15" t="n"/>
      <c r="H14" s="15" t="n"/>
      <c r="I14" s="15" t="n"/>
      <c r="J14" s="12" t="str">
        <f>IF(E14="","",E14-SUM(G14:I14))</f>
        <v/>
      </c>
      <c r="K14" s="17" t="str">
        <f>IF(OR(J14="",C14=0),"",J14/C14)</f>
        <v/>
      </c>
      <c r="L14" s="12" t="str">
        <f>IF(OR(C14="",$C$20=0),"",$C$6*C14/$C$20)</f>
        <v/>
      </c>
      <c r="M14" s="12" t="str">
        <f>IF(OR(J14="",L14=""),"",J14-L14)</f>
        <v/>
      </c>
      <c r="N14" s="15" t="n"/>
      <c r="O14" s="16" t="str">
        <f>IF(OR(N14="",D14="",D14=0),"",N14/D14*$C$7)</f>
        <v/>
      </c>
      <c r="P14" s="18" t="str">
        <f>IF(J14="","",RANK(J14,$J$10:$J$19,0))</f>
        <v/>
      </c>
    </row>
    <row r="15">
      <c r="B15" s="14" t="n"/>
      <c r="C15" s="15" t="n"/>
      <c r="D15" s="15" t="n"/>
      <c r="E15" s="12" t="str">
        <f>IF(OR(C15="",D15=""),"",C15-D15)</f>
        <v/>
      </c>
      <c r="F15" s="17" t="str">
        <f>IF(OR(E15="",C15=0),"",E15/C15)</f>
        <v/>
      </c>
      <c r="G15" s="15" t="n"/>
      <c r="H15" s="15" t="n"/>
      <c r="I15" s="15" t="n"/>
      <c r="J15" s="12" t="str">
        <f>IF(E15="","",E15-SUM(G15:I15))</f>
        <v/>
      </c>
      <c r="K15" s="17" t="str">
        <f>IF(OR(J15="",C15=0),"",J15/C15)</f>
        <v/>
      </c>
      <c r="L15" s="12" t="str">
        <f>IF(OR(C15="",$C$20=0),"",$C$6*C15/$C$20)</f>
        <v/>
      </c>
      <c r="M15" s="12" t="str">
        <f>IF(OR(J15="",L15=""),"",J15-L15)</f>
        <v/>
      </c>
      <c r="N15" s="15" t="n"/>
      <c r="O15" s="16" t="str">
        <f>IF(OR(N15="",D15="",D15=0),"",N15/D15*$C$7)</f>
        <v/>
      </c>
      <c r="P15" s="18" t="str">
        <f>IF(J15="","",RANK(J15,$J$10:$J$19,0))</f>
        <v/>
      </c>
    </row>
    <row r="16">
      <c r="B16" s="14" t="n"/>
      <c r="C16" s="15" t="n"/>
      <c r="D16" s="15" t="n"/>
      <c r="E16" s="12" t="str">
        <f>IF(OR(C16="",D16=""),"",C16-D16)</f>
        <v/>
      </c>
      <c r="F16" s="17" t="str">
        <f>IF(OR(E16="",C16=0),"",E16/C16)</f>
        <v/>
      </c>
      <c r="G16" s="15" t="n"/>
      <c r="H16" s="15" t="n"/>
      <c r="I16" s="15" t="n"/>
      <c r="J16" s="12" t="str">
        <f>IF(E16="","",E16-SUM(G16:I16))</f>
        <v/>
      </c>
      <c r="K16" s="17" t="str">
        <f>IF(OR(J16="",C16=0),"",J16/C16)</f>
        <v/>
      </c>
      <c r="L16" s="12" t="str">
        <f>IF(OR(C16="",$C$20=0),"",$C$6*C16/$C$20)</f>
        <v/>
      </c>
      <c r="M16" s="12" t="str">
        <f>IF(OR(J16="",L16=""),"",J16-L16)</f>
        <v/>
      </c>
      <c r="N16" s="15" t="n"/>
      <c r="O16" s="16" t="str">
        <f>IF(OR(N16="",D16="",D16=0),"",N16/D16*$C$7)</f>
        <v/>
      </c>
      <c r="P16" s="18" t="str">
        <f>IF(J16="","",RANK(J16,$J$10:$J$19,0))</f>
        <v/>
      </c>
    </row>
    <row r="17">
      <c r="B17" s="14" t="n"/>
      <c r="C17" s="15" t="n"/>
      <c r="D17" s="15" t="n"/>
      <c r="E17" s="12" t="str">
        <f>IF(OR(C17="",D17=""),"",C17-D17)</f>
        <v/>
      </c>
      <c r="F17" s="17" t="str">
        <f>IF(OR(E17="",C17=0),"",E17/C17)</f>
        <v/>
      </c>
      <c r="G17" s="15" t="n"/>
      <c r="H17" s="15" t="n"/>
      <c r="I17" s="15" t="n"/>
      <c r="J17" s="12" t="str">
        <f>IF(E17="","",E17-SUM(G17:I17))</f>
        <v/>
      </c>
      <c r="K17" s="17" t="str">
        <f>IF(OR(J17="",C17=0),"",J17/C17)</f>
        <v/>
      </c>
      <c r="L17" s="12" t="str">
        <f>IF(OR(C17="",$C$20=0),"",$C$6*C17/$C$20)</f>
        <v/>
      </c>
      <c r="M17" s="12" t="str">
        <f>IF(OR(J17="",L17=""),"",J17-L17)</f>
        <v/>
      </c>
      <c r="N17" s="15" t="n"/>
      <c r="O17" s="16" t="str">
        <f>IF(OR(N17="",D17="",D17=0),"",N17/D17*$C$7)</f>
        <v/>
      </c>
      <c r="P17" s="18" t="str">
        <f>IF(J17="","",RANK(J17,$J$10:$J$19,0))</f>
        <v/>
      </c>
    </row>
    <row r="18">
      <c r="B18" s="14" t="n"/>
      <c r="C18" s="15" t="n"/>
      <c r="D18" s="15" t="n"/>
      <c r="E18" s="12" t="str">
        <f>IF(OR(C18="",D18=""),"",C18-D18)</f>
        <v/>
      </c>
      <c r="F18" s="17" t="str">
        <f>IF(OR(E18="",C18=0),"",E18/C18)</f>
        <v/>
      </c>
      <c r="G18" s="15" t="n"/>
      <c r="H18" s="15" t="n"/>
      <c r="I18" s="15" t="n"/>
      <c r="J18" s="12" t="str">
        <f>IF(E18="","",E18-SUM(G18:I18))</f>
        <v/>
      </c>
      <c r="K18" s="17" t="str">
        <f>IF(OR(J18="",C18=0),"",J18/C18)</f>
        <v/>
      </c>
      <c r="L18" s="12" t="str">
        <f>IF(OR(C18="",$C$20=0),"",$C$6*C18/$C$20)</f>
        <v/>
      </c>
      <c r="M18" s="12" t="str">
        <f>IF(OR(J18="",L18=""),"",J18-L18)</f>
        <v/>
      </c>
      <c r="N18" s="15" t="n"/>
      <c r="O18" s="16" t="str">
        <f>IF(OR(N18="",D18="",D18=0),"",N18/D18*$C$7)</f>
        <v/>
      </c>
      <c r="P18" s="18" t="str">
        <f>IF(J18="","",RANK(J18,$J$10:$J$19,0))</f>
        <v/>
      </c>
    </row>
    <row r="19">
      <c r="B19" s="14" t="n"/>
      <c r="C19" s="15" t="n"/>
      <c r="D19" s="15" t="n"/>
      <c r="E19" s="12" t="str">
        <f>IF(OR(C19="",D19=""),"",C19-D19)</f>
        <v/>
      </c>
      <c r="F19" s="17" t="str">
        <f>IF(OR(E19="",C19=0),"",E19/C19)</f>
        <v/>
      </c>
      <c r="G19" s="15" t="n"/>
      <c r="H19" s="15" t="n"/>
      <c r="I19" s="15" t="n"/>
      <c r="J19" s="12" t="str">
        <f>IF(E19="","",E19-SUM(G19:I19))</f>
        <v/>
      </c>
      <c r="K19" s="17" t="str">
        <f>IF(OR(J19="",C19=0),"",J19/C19)</f>
        <v/>
      </c>
      <c r="L19" s="12" t="str">
        <f>IF(OR(C19="",$C$20=0),"",$C$6*C19/$C$20)</f>
        <v/>
      </c>
      <c r="M19" s="12" t="str">
        <f>IF(OR(J19="",L19=""),"",J19-L19)</f>
        <v/>
      </c>
      <c r="N19" s="15" t="n"/>
      <c r="O19" s="16" t="str">
        <f>IF(OR(N19="",D19="",D19=0),"",N19/D19*$C$7)</f>
        <v/>
      </c>
      <c r="P19" s="18" t="str">
        <f>IF(J19="","",RANK(J19,$J$10:$J$19,0))</f>
        <v/>
      </c>
    </row>
    <row r="20">
      <c r="B20" s="20" t="inlineStr">
        <is>
          <t>TOTAL</t>
        </is>
      </c>
      <c r="C20" s="12">
        <f>SUM(C10:C19)</f>
        <v>2400000.0</v>
      </c>
      <c r="D20" s="12">
        <f>SUM(D10:D19)</f>
        <v>1728000.0</v>
      </c>
      <c r="E20" s="12">
        <f>SUM(E10:E19)</f>
        <v>672000.0</v>
      </c>
      <c r="F20" s="17">
        <f>IF(C20=0,"",E20/C20)</f>
        <v>0.28</v>
      </c>
      <c r="G20" s="12">
        <f>SUM(G10:G19)</f>
        <v>374000.0</v>
      </c>
      <c r="H20" s="12">
        <f>SUM(H10:H19)</f>
        <v>138000.0</v>
      </c>
      <c r="I20" s="12">
        <f>SUM(I10:I19)</f>
        <v>63000.0</v>
      </c>
      <c r="J20" s="12">
        <f>SUM(J10:J19)</f>
        <v>97000.0</v>
      </c>
      <c r="K20" s="17">
        <f>IF(C20=0,"",J20/C20)</f>
        <v>0.04041666666666666</v>
      </c>
      <c r="L20" s="12">
        <f>SUM(L10:L19)</f>
        <v>60000.0</v>
      </c>
      <c r="M20" s="12">
        <f>SUM(M10:M19)</f>
        <v>37000.0</v>
      </c>
      <c r="N20" s="12">
        <f>SUM(N10:N19)</f>
        <v>330000.0</v>
      </c>
      <c r="O20" s="16">
        <f>IF(D20=0,"",N20/D20*$C$7)</f>
        <v>69.7048611111111</v>
      </c>
      <c r="P20" s="21" t="n"/>
    </row>
    <row r="22">
      <c r="B22" s="2" t="inlineStr">
        <is>
          <t>Contribution = marge commerciale − charges directes du point de vente. C'est ce que chaque point de vente apporte</t>
        </is>
      </c>
    </row>
    <row r="23">
      <c r="B23" s="2" t="inlineStr">
        <is>
          <t>pour couvrir les frais centraux. La quote-part au prorata du CA est une convention simple, à adapter si besoin.</t>
        </is>
      </c>
    </row>
    <row r="24">
      <c r="B24" s="2" t="inlineStr">
        <is>
          <t>Un point de vente à faible contribution n'est pas forcément à fermer : il peut porter du volume d'achat ou une zone.</t>
        </is>
      </c>
    </row>
    <row r="26">
      <c r="B26" s="7" t="inlineStr">
        <is>
          <t>FG Conseils PME, www.fgconseilspme.fr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fitToHeight="0" fitToWidth="1"/>
  <headerFooter>
    <oddHeader/>
    <oddFooter>&amp;C&amp;"Arial"&amp;9 FG Conseils PME, www.fgconseilspme.fr</oddFooter>
    <evenHeader/>
    <evenFooter>&amp;CFG Conseils PME, www.fgconseilspme.fr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FG Conseils PME</dc:creator>
  <dc:title>Stock et trésorerie du négoce</dc:title>
  <dcterms:created xsi:type="dcterms:W3CDTF">2026-11-04T22:41:33Z</dcterms:created>
  <dcterms:modified xsi:type="dcterms:W3CDTF">2026-11-04T22:41:33Z</dcterms:modified>
</cp:coreProperties>
</file>