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Saisie par immeuble" sheetId="2" state="visible" r:id="rId2"/>
    <sheet name="Synthèse" sheetId="3" state="visible" r:id="rId3"/>
    <sheet name="Échéances" sheetId="4" state="visible" r:id="rId4"/>
    <sheet name="Trésorerie 13 semaines" sheetId="5" state="visible" r:id="rId5"/>
    <sheet name="Listes" sheetId="6" state="hidden" r:id="rId6"/>
  </sheets>
  <definedNames/>
  <calcPr calcId="124519" fullCalcOnLoad="1"/>
</workbook>
</file>

<file path=xl/styles.xml><?xml version="1.0" encoding="utf-8"?>
<styleSheet xmlns="http://schemas.openxmlformats.org/spreadsheetml/2006/main">
  <numFmts count="4">
    <numFmt numFmtId="164" formatCode="#,##0 €;[Red]-#,##0 €;&quot;-&quot;"/>
    <numFmt numFmtId="165" formatCode="0.0%;[Red]-0.0%;&quot;-&quot;"/>
    <numFmt numFmtId="166" formatCode="yyyy-mm-dd"/>
    <numFmt numFmtId="167" formatCode="dd/mm/yyyy"/>
  </numFmts>
  <fonts count="11">
    <font>
      <name val="Calibri"/>
      <family val="2"/>
      <color theme="1"/>
      <sz val="11"/>
      <scheme val="minor"/>
    </font>
    <font>
      <name val="Arial"/>
      <b val="1"/>
      <color rgb="FF12181C"/>
      <sz val="15"/>
    </font>
    <font>
      <name val="Arial"/>
      <i val="1"/>
      <color rgb="FF6B7280"/>
      <sz val="10"/>
    </font>
    <font>
      <name val="Arial"/>
      <b val="1"/>
      <color rgb="FF3F6491"/>
      <sz val="11"/>
    </font>
    <font>
      <name val="Arial"/>
      <color rgb="FF12181C"/>
      <sz val="10"/>
    </font>
    <font>
      <name val="Arial"/>
      <color rgb="FF3F6491"/>
      <sz val="10"/>
    </font>
    <font>
      <name val="Arial"/>
      <i val="1"/>
      <color rgb="FF6B7280"/>
      <sz val="8"/>
    </font>
    <font>
      <name val="Arial"/>
      <i val="1"/>
      <color rgb="FF12181C"/>
      <sz val="9"/>
    </font>
    <font>
      <name val="Arial"/>
      <b val="1"/>
      <color rgb="FFFFFFFF"/>
      <sz val="9"/>
    </font>
    <font>
      <name val="Arial"/>
      <b val="1"/>
      <color rgb="FF12181C"/>
      <sz val="10"/>
    </font>
    <font>
      <name val="Arial"/>
      <i val="1"/>
      <color rgb="FF6B7280"/>
      <sz val="9"/>
    </font>
  </fonts>
  <fills count="5">
    <fill>
      <patternFill/>
    </fill>
    <fill>
      <patternFill patternType="gray125"/>
    </fill>
    <fill>
      <patternFill patternType="solid">
        <fgColor rgb="FF3F6491"/>
      </patternFill>
    </fill>
    <fill>
      <patternFill patternType="solid">
        <fgColor rgb="FFFFF4CC"/>
      </patternFill>
    </fill>
    <fill>
      <patternFill patternType="solid">
        <fgColor rgb="FFE3EAF3"/>
      </patternFill>
    </fill>
  </fills>
  <borders count="7">
    <border>
      <left/>
      <right/>
      <top/>
      <bottom/>
      <diagonal/>
    </border>
    <border>
      <bottom style="thin">
        <color rgb="FF3F6491"/>
      </bottom>
    </border>
    <border>
      <left style="thin">
        <color rgb="FFD0D7E2"/>
      </left>
      <right style="thin">
        <color rgb="FFD0D7E2"/>
      </right>
      <top style="thin">
        <color rgb="FFD0D7E2"/>
      </top>
      <bottom style="thin">
        <color rgb="FFD0D7E2"/>
      </bottom>
    </border>
    <border>
      <left/>
      <right/>
      <top style="thin">
        <color rgb="FFD0D7E2"/>
      </top>
      <bottom/>
      <diagonal/>
    </border>
    <border>
      <left/>
      <right style="thin">
        <color rgb="FFD0D7E2"/>
      </right>
      <top style="thin">
        <color rgb="FFD0D7E2"/>
      </top>
      <bottom/>
      <diagonal/>
    </border>
    <border>
      <left/>
      <right/>
      <top style="thin">
        <color rgb="FFD0D7E2"/>
      </top>
      <bottom style="thin">
        <color rgb="FFD0D7E2"/>
      </bottom>
      <diagonal/>
    </border>
    <border>
      <left/>
      <right style="thin">
        <color rgb="FFD0D7E2"/>
      </right>
      <top style="thin">
        <color rgb="FFD0D7E2"/>
      </top>
      <bottom style="thin">
        <color rgb="FFD0D7E2"/>
      </bottom>
      <diagonal/>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1"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2" applyAlignment="1" pivotButton="0" quotePrefix="0" xfId="0">
      <alignment horizontal="center" vertical="center" wrapText="1"/>
    </xf>
    <xf numFmtId="0" fontId="4" fillId="3" borderId="2" applyProtection="1" pivotButton="0" quotePrefix="0" xfId="0">
      <protection locked="0" hidden="0"/>
    </xf>
    <xf numFmtId="1" fontId="4" fillId="3" borderId="2" applyProtection="1" pivotButton="0" quotePrefix="0" xfId="0">
      <protection locked="0" hidden="0"/>
    </xf>
    <xf numFmtId="164" fontId="4" fillId="3" borderId="2" applyProtection="1" pivotButton="0" quotePrefix="0" xfId="0">
      <protection locked="0" hidden="0"/>
    </xf>
    <xf numFmtId="165" fontId="4" fillId="3" borderId="2" applyProtection="1" pivotButton="0" quotePrefix="0" xfId="0">
      <protection locked="0" hidden="0"/>
    </xf>
    <xf numFmtId="0" fontId="9" fillId="4" borderId="2" pivotButton="0" quotePrefix="0" xfId="0"/>
    <xf numFmtId="1" fontId="9" fillId="4" borderId="2" pivotButton="0" quotePrefix="0" xfId="0"/>
    <xf numFmtId="164" fontId="9" fillId="4" borderId="2" pivotButton="0" quotePrefix="0" xfId="0"/>
    <xf numFmtId="165" fontId="9" fillId="4" borderId="2" pivotButton="0" quotePrefix="0" xfId="0"/>
    <xf numFmtId="0" fontId="10" fillId="0" borderId="0" pivotButton="0" quotePrefix="0" xfId="0"/>
    <xf numFmtId="0" fontId="9" fillId="0" borderId="2" pivotButton="0" quotePrefix="0" xfId="0"/>
    <xf numFmtId="164" fontId="4" fillId="0" borderId="2" pivotButton="0" quotePrefix="0" xfId="0"/>
    <xf numFmtId="164" fontId="9" fillId="0" borderId="2" pivotButton="0" quotePrefix="0" xfId="0"/>
    <xf numFmtId="165" fontId="4" fillId="0" borderId="2" pivotButton="0" quotePrefix="0" xfId="0"/>
    <xf numFmtId="1" fontId="9" fillId="0" borderId="2" applyAlignment="1" pivotButton="0" quotePrefix="0" xfId="0">
      <alignment horizontal="center"/>
    </xf>
    <xf numFmtId="0" fontId="4" fillId="0" borderId="2" pivotButton="0" quotePrefix="0" xfId="0"/>
    <xf numFmtId="0" fontId="3" fillId="0" borderId="0" pivotButton="0" quotePrefix="0" xfId="0"/>
    <xf numFmtId="0" fontId="9" fillId="0" borderId="0" pivotButton="0" quotePrefix="0" xfId="0"/>
    <xf numFmtId="0" fontId="0" fillId="0" borderId="5" applyProtection="1" pivotButton="0" quotePrefix="0" xfId="0">
      <protection locked="0" hidden="0"/>
    </xf>
    <xf numFmtId="0" fontId="0" fillId="0" borderId="6" applyProtection="1" pivotButton="0" quotePrefix="0" xfId="0">
      <protection locked="0" hidden="0"/>
    </xf>
    <xf numFmtId="167" fontId="4" fillId="3" borderId="2" applyProtection="1" pivotButton="0" quotePrefix="0" xfId="0">
      <protection locked="0" hidden="0"/>
    </xf>
    <xf numFmtId="167" fontId="4" fillId="0" borderId="2" pivotButton="0" quotePrefix="0" xfId="0"/>
    <xf numFmtId="0" fontId="0" fillId="0" borderId="6" pivotButton="0" quotePrefix="0" xfId="0"/>
    <xf numFmtId="1" fontId="9" fillId="0" borderId="2" pivotButton="0" quotePrefix="0" xfId="0"/>
  </cellXfs>
  <cellStyles count="1">
    <cellStyle name="Normal" xfId="0" builtinId="0" hidden="0"/>
  </cellStyles>
  <dxfs count="3">
    <dxf>
      <fill>
        <patternFill patternType="solid">
          <fgColor rgb="FFD9EAD3"/>
        </patternFill>
      </fill>
    </dxf>
    <dxf>
      <fill>
        <patternFill patternType="solid">
          <fgColor rgb="FFFBE3E3"/>
        </patternFill>
      </fill>
    </dxf>
    <dxf>
      <font>
        <name val="Arial"/>
        <b val="1"/>
        <color rgb="FFB91C1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legifrance.gouv.fr/loda/id/LEGITEXT000006066149/" TargetMode="External" Id="rId1" /><Relationship Type="http://schemas.openxmlformats.org/officeDocument/2006/relationships/hyperlink" Target="https://www.fgconseilspme.fr/rendez-vous" TargetMode="External" Id="rId2" /><Relationship Type="http://schemas.openxmlformats.org/officeDocument/2006/relationships/hyperlink" Target="https://www.fgconseilspme.fr/gestion-immobiliere" TargetMode="External" Id="rId3" /></Relationships>
</file>

<file path=xl/worksheets/sheet1.xml><?xml version="1.0" encoding="utf-8"?>
<worksheet xmlns="http://schemas.openxmlformats.org/spreadsheetml/2006/main">
  <sheetPr>
    <tabColor rgb="003F6491"/>
    <outlinePr summaryBelow="1" summaryRight="1"/>
    <pageSetUpPr fitToPage="1"/>
  </sheetPr>
  <dimension ref="B2:B44"/>
  <sheetViews>
    <sheetView showGridLines="0" workbookViewId="0">
      <selection activeCell="A1" sqref="A1"/>
    </sheetView>
  </sheetViews>
  <sheetFormatPr baseColWidth="8" defaultRowHeight="15"/>
  <cols>
    <col width="2" customWidth="1" min="1" max="1"/>
    <col width="120" customWidth="1" min="2" max="2"/>
  </cols>
  <sheetData>
    <row r="2">
      <c r="B2" s="1" t="inlineStr">
        <is>
          <t>BUDGET ET TRÉSORERIE PAR IMMEUBLE — MODE D'EMPLOI</t>
        </is>
      </c>
    </row>
    <row r="3">
      <c r="B3" s="2" t="inlineStr">
        <is>
          <t>Outil gratuit FG Conseils PME, pour les sociétés et associations de gestion immobilière</t>
        </is>
      </c>
    </row>
    <row r="5">
      <c r="B5" s="3" t="inlineStr">
        <is>
          <t>A quoi sert cet outil</t>
        </is>
      </c>
    </row>
    <row r="6">
      <c r="B6" s="4" t="inlineStr">
        <is>
          <t>Passer d'une vision globale à un budget et un résultat immeuble par immeuble (jusqu'à 10 immeubles ou sites),</t>
        </is>
      </c>
    </row>
    <row r="7">
      <c r="B7" s="4" t="inlineStr">
        <is>
          <t>mesurer ce qui sépare les loyers et charges quittancés de l'argent réellement disponible, et tenir une trésorerie à 13 semaines (90 jours).</t>
        </is>
      </c>
    </row>
    <row r="8">
      <c r="B8" s="4" t="inlineStr"/>
    </row>
    <row r="9">
      <c r="B9" s="3" t="inlineStr">
        <is>
          <t>Code couleur</t>
        </is>
      </c>
    </row>
    <row r="10">
      <c r="B10" s="4" t="inlineStr">
        <is>
          <t>Cellules sur fond jaune : à remplir par vous. Toutes les autres cellules sont calculées par des formules et protégées (protection sans mot de passe).</t>
        </is>
      </c>
    </row>
    <row r="11">
      <c r="B11" s="4" t="inlineStr">
        <is>
          <t>Chiffres en gras : résultats calculés. Montants négatifs en rouge.</t>
        </is>
      </c>
    </row>
    <row r="12">
      <c r="B12" s="4" t="inlineStr"/>
    </row>
    <row r="13">
      <c r="B13" s="3" t="inlineStr">
        <is>
          <t>Exemple fictif déjà rempli</t>
        </is>
      </c>
    </row>
    <row r="14">
      <c r="B14" s="4" t="inlineStr">
        <is>
          <t>Les immeubles A, B et C et les échéances pré-remplies sont un EXEMPLE FICTIF, pour montrer le fonctionnement. Remplacez-les par vos chiffres.</t>
        </is>
      </c>
    </row>
    <row r="15">
      <c r="B15" s="4" t="inlineStr">
        <is>
          <t>L'immeuble A reprend l'exemple de notre guide : 240 000 € quittancés, 188 000 € disponibles.</t>
        </is>
      </c>
    </row>
    <row r="16">
      <c r="B16" s="4" t="inlineStr"/>
    </row>
    <row r="17">
      <c r="B17" s="3" t="inlineStr">
        <is>
          <t>Les 4 étapes</t>
        </is>
      </c>
    </row>
    <row r="18">
      <c r="B18" s="4" t="inlineStr">
        <is>
          <t>1. Onglet « Saisie par immeuble » : une ligne par immeuble ou site, avec les montants de l'année (réel ou prévisionnel) et vos hypothèses de budget.</t>
        </is>
      </c>
    </row>
    <row r="19">
      <c r="B19" s="4" t="inlineStr">
        <is>
          <t>2. Onglet « Synthèse » : lisez, pour chaque immeuble, le disponible, le résultat avant emprunt, la trésorerie dégagée, l'écart au budget et le classement.</t>
        </is>
      </c>
    </row>
    <row r="20">
      <c r="B20" s="4" t="inlineStr">
        <is>
          <t xml:space="preserve">    Le bloc « Zoom » détaille un immeuble au choix, du quittancé au disponible.</t>
        </is>
      </c>
    </row>
    <row r="21">
      <c r="B21" s="4" t="inlineStr">
        <is>
          <t>3. Onglet « Échéances » : listez vos encaissements et décaissements datés (loyers, emprunts, taxe foncière, travaux, régularisations, subventions).</t>
        </is>
      </c>
    </row>
    <row r="22">
      <c r="B22" s="4" t="inlineStr">
        <is>
          <t>4. Onglet « Trésorerie 13 semaines » : saisissez la date de début (un lundi), le solde bancaire du jour et votre seuil d'alerte. Le tableau se remplit seul.</t>
        </is>
      </c>
    </row>
    <row r="23">
      <c r="B23" s="4" t="inlineStr">
        <is>
          <t xml:space="preserve">    Mettez-le à jour chaque mois : le point bas de trésorerie se voit trois mois avant.</t>
        </is>
      </c>
    </row>
    <row r="24">
      <c r="B24" s="4" t="inlineStr"/>
    </row>
    <row r="25">
      <c r="B25" s="3" t="inlineStr">
        <is>
          <t>Définitions utilisées</t>
        </is>
      </c>
    </row>
    <row r="26">
      <c r="B26" s="4" t="inlineStr">
        <is>
          <t>Quittancé : loyers et charges appelés sur l'année si tous les lots étaient loués (provisions et régularisations de charges comprises).</t>
        </is>
      </c>
    </row>
    <row r="27">
      <c r="B27" s="4" t="inlineStr">
        <is>
          <t>Vacance : quittancé × taux de vacance (part des lots-mois inoccupés). Impayés : sommes quittancées et non encaissées sur l'année.</t>
        </is>
      </c>
    </row>
    <row r="28">
      <c r="B28" s="4" t="inlineStr">
        <is>
          <t>Charges non régularisées : charges récupérables engagées moins charges effectivement refacturées aux locataires.</t>
        </is>
      </c>
    </row>
    <row r="29">
      <c r="B29" s="4" t="inlineStr">
        <is>
          <t>Travaux au-delà du budget : travaux et entretien réalisés moins travaux et entretien prévus au budget.</t>
        </is>
      </c>
    </row>
    <row r="30">
      <c r="B30" s="4" t="inlineStr">
        <is>
          <t>Disponible : quittancé moins vacance, impayés, charges non régularisées et travaux au-delà du budget. C'est ce qui reste pour couvrir les dépenses prévues.</t>
        </is>
      </c>
    </row>
    <row r="31">
      <c r="B31" s="4" t="inlineStr">
        <is>
          <t>Résultat avant emprunt : disponible moins les dépenses prévues (charges régularisées, entretien prévu, taxe foncière, autres charges non récupérables).</t>
        </is>
      </c>
    </row>
    <row r="32">
      <c r="B32" s="4" t="inlineStr">
        <is>
          <t>Trésorerie dégagée : résultat avant emprunt moins les annuités d'emprunt (capital et intérêts).</t>
        </is>
      </c>
    </row>
    <row r="33">
      <c r="B33" s="4" t="inlineStr">
        <is>
          <t>Écart au budget : trésorerie dégagée réelle moins trésorerie dégagée budgétée (budget : vacance et impayés budgétés, charges régularisées en totalité, travaux au budget).</t>
        </is>
      </c>
    </row>
    <row r="34">
      <c r="B34" s="4" t="inlineStr"/>
    </row>
    <row r="35">
      <c r="B35" s="3" t="inlineStr">
        <is>
          <t>Limites</t>
        </is>
      </c>
    </row>
    <row r="36">
      <c r="B36" s="4" t="inlineStr">
        <is>
          <t>Cet outil est un tableau de pilotage, pas un document comptable : il ne tient compte ni des amortissements ni de la TVA. Votre expert-comptable reste la référence.</t>
        </is>
      </c>
    </row>
    <row r="37">
      <c r="B37" s="4" t="inlineStr">
        <is>
          <t>Charges récupérables des logements : la liste est fixée par le décret n° 87-713 du 26 août 1987 (Légifrance) ; la régularisation est annuelle (loi du 6 juillet 1989, art. 23).</t>
        </is>
      </c>
    </row>
    <row r="38">
      <c r="B38" s="4" t="inlineStr">
        <is>
          <t>Bureaux, logements-foyers et résidences sociales suivent d'autres règles (bail, convention). En cas de doute, demandez à votre expert-comptable ou à votre avocat.</t>
        </is>
      </c>
    </row>
    <row r="39">
      <c r="B39" s="4" t="inlineStr"/>
    </row>
    <row r="40">
      <c r="B40" s="3" t="inlineStr">
        <is>
          <t>Aller plus loin</t>
        </is>
      </c>
    </row>
    <row r="41">
      <c r="B41" s="5" t="inlineStr">
        <is>
          <t>Audit flash de 30 minutes, offert : www.fgconseilspme.fr/rendez-vous</t>
        </is>
      </c>
    </row>
    <row r="42">
      <c r="B42" s="5" t="inlineStr">
        <is>
          <t>Notre accompagnement pour la gestion immobilière : www.fgconseilspme.fr/gestion-immobiliere</t>
        </is>
      </c>
    </row>
    <row r="44">
      <c r="B44" s="6"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37" r:id="rId1"/>
    <hyperlink xmlns:r="http://schemas.openxmlformats.org/officeDocument/2006/relationships" ref="B41" r:id="rId2"/>
    <hyperlink xmlns:r="http://schemas.openxmlformats.org/officeDocument/2006/relationships" ref="B42" r:id="rId3"/>
  </hyperlinks>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xl/worksheets/sheet2.xml><?xml version="1.0" encoding="utf-8"?>
<worksheet xmlns="http://schemas.openxmlformats.org/spreadsheetml/2006/main">
  <sheetPr>
    <tabColor rgb="003F6491"/>
    <outlinePr summaryBelow="1" summaryRight="1"/>
    <pageSetUpPr fitToPage="1"/>
  </sheetPr>
  <dimension ref="B2:P24"/>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17" customWidth="1" min="3" max="3"/>
    <col width="14.5" customWidth="1" min="4" max="4"/>
    <col width="14.5" customWidth="1" min="5" max="5"/>
    <col width="14.5" customWidth="1" min="6" max="6"/>
    <col width="14.5" customWidth="1" min="7" max="7"/>
    <col width="14.5" customWidth="1" min="8" max="8"/>
    <col width="14.5" customWidth="1" min="9" max="9"/>
    <col width="14.5" customWidth="1" min="10" max="10"/>
    <col width="14.5" customWidth="1" min="11" max="11"/>
    <col width="14.5" customWidth="1" min="12" max="12"/>
    <col width="14.5" customWidth="1" min="13" max="13"/>
    <col width="14.5" customWidth="1" min="14" max="14"/>
    <col width="14.5" customWidth="1" min="15" max="15"/>
    <col width="14.5" customWidth="1" min="16" max="16"/>
  </cols>
  <sheetData>
    <row r="2">
      <c r="B2" s="1" t="inlineStr">
        <is>
          <t>SAISIE PAR IMMEUBLE</t>
        </is>
      </c>
    </row>
    <row r="3">
      <c r="B3" s="2" t="inlineStr">
        <is>
          <t>Montants annuels en euros. Une ligne par immeuble ou site (10 au maximum). Lignes 8 à 10 : exemple fictif, à remplacer.</t>
        </is>
      </c>
    </row>
    <row r="5">
      <c r="B5" s="7" t="inlineStr">
        <is>
          <t>Remplissez les cellules jaunes. Les taux se saisissent en pourcentage (ex. 5 %). Laissez une ligne vide si vous avez moins de 10 immeubles.</t>
        </is>
      </c>
    </row>
    <row r="7" ht="72" customHeight="1">
      <c r="B7" s="8" t="inlineStr">
        <is>
          <t>Immeuble ou site</t>
        </is>
      </c>
      <c r="C7" s="8" t="inlineStr">
        <is>
          <t>Type</t>
        </is>
      </c>
      <c r="D7" s="8" t="inlineStr">
        <is>
          <t>Nombre de lots</t>
        </is>
      </c>
      <c r="E7" s="8" t="inlineStr">
        <is>
          <t>Loyers et charges quittancés (pleine occupation, €/an)</t>
        </is>
      </c>
      <c r="F7" s="8" t="inlineStr">
        <is>
          <t>Taux de vacance réel</t>
        </is>
      </c>
      <c r="G7" s="8" t="inlineStr">
        <is>
          <t>Taux de vacance budgété</t>
        </is>
      </c>
      <c r="H7" s="8" t="inlineStr">
        <is>
          <t>Impayés réels (€)</t>
        </is>
      </c>
      <c r="I7" s="8" t="inlineStr">
        <is>
          <t>Impayés budgétés (€)</t>
        </is>
      </c>
      <c r="J7" s="8" t="inlineStr">
        <is>
          <t>Charges récupérables engagées (€)</t>
        </is>
      </c>
      <c r="K7" s="8" t="inlineStr">
        <is>
          <t>Charges récupérables régularisées, refacturées (€)</t>
        </is>
      </c>
      <c r="L7" s="8" t="inlineStr">
        <is>
          <t>Travaux et entretien prévus au budget (€)</t>
        </is>
      </c>
      <c r="M7" s="8" t="inlineStr">
        <is>
          <t>Travaux et entretien réalisés (€)</t>
        </is>
      </c>
      <c r="N7" s="8" t="inlineStr">
        <is>
          <t>Taxe foncière (€)</t>
        </is>
      </c>
      <c r="O7" s="8" t="inlineStr">
        <is>
          <t>Autres charges non récupérables : assurance, gestion… (€)</t>
        </is>
      </c>
      <c r="P7" s="8" t="inlineStr">
        <is>
          <t>Annuités d'emprunt, capital et intérêts (€)</t>
        </is>
      </c>
    </row>
    <row r="8">
      <c r="B8" s="9" t="inlineStr">
        <is>
          <t>Immeuble A – logements (exemple fictif)</t>
        </is>
      </c>
      <c r="C8" s="9" t="inlineStr">
        <is>
          <t>Logement</t>
        </is>
      </c>
      <c r="D8" s="10" t="n">
        <v>40</v>
      </c>
      <c r="E8" s="11" t="n">
        <v>240000</v>
      </c>
      <c r="F8" s="12" t="n">
        <v>0.05833333333333333</v>
      </c>
      <c r="G8" s="12" t="n">
        <v>0.03</v>
      </c>
      <c r="H8" s="11" t="n">
        <v>9000</v>
      </c>
      <c r="I8" s="11" t="n">
        <v>2400</v>
      </c>
      <c r="J8" s="11" t="n">
        <v>60000</v>
      </c>
      <c r="K8" s="11" t="n">
        <v>49000</v>
      </c>
      <c r="L8" s="11" t="n">
        <v>12000</v>
      </c>
      <c r="M8" s="11" t="n">
        <v>30000</v>
      </c>
      <c r="N8" s="11" t="n">
        <v>21000</v>
      </c>
      <c r="O8" s="11" t="n">
        <v>14000</v>
      </c>
      <c r="P8" s="11" t="n">
        <v>70000</v>
      </c>
    </row>
    <row r="9">
      <c r="B9" s="9" t="inlineStr">
        <is>
          <t>Immeuble B – bureaux (exemple fictif)</t>
        </is>
      </c>
      <c r="C9" s="9" t="inlineStr">
        <is>
          <t>Bureaux</t>
        </is>
      </c>
      <c r="D9" s="10" t="n">
        <v>8</v>
      </c>
      <c r="E9" s="11" t="n">
        <v>150000</v>
      </c>
      <c r="F9" s="12" t="n">
        <v>0.08</v>
      </c>
      <c r="G9" s="12" t="n">
        <v>0.05</v>
      </c>
      <c r="H9" s="11" t="n">
        <v>3000</v>
      </c>
      <c r="I9" s="11" t="n">
        <v>1500</v>
      </c>
      <c r="J9" s="11" t="n">
        <v>25000</v>
      </c>
      <c r="K9" s="11" t="n">
        <v>23500</v>
      </c>
      <c r="L9" s="11" t="n">
        <v>6000</v>
      </c>
      <c r="M9" s="11" t="n">
        <v>5000</v>
      </c>
      <c r="N9" s="11" t="n">
        <v>14000</v>
      </c>
      <c r="O9" s="11" t="n">
        <v>9000</v>
      </c>
      <c r="P9" s="11" t="n">
        <v>48000</v>
      </c>
    </row>
    <row r="10">
      <c r="B10" s="9" t="inlineStr">
        <is>
          <t>Résidence C – logements (exemple fictif)</t>
        </is>
      </c>
      <c r="C10" s="9" t="inlineStr">
        <is>
          <t>Résidence ou foyer</t>
        </is>
      </c>
      <c r="D10" s="10" t="n">
        <v>60</v>
      </c>
      <c r="E10" s="11" t="n">
        <v>330000</v>
      </c>
      <c r="F10" s="12" t="n">
        <v>0.04</v>
      </c>
      <c r="G10" s="12" t="n">
        <v>0.04</v>
      </c>
      <c r="H10" s="11" t="n">
        <v>6000</v>
      </c>
      <c r="I10" s="11" t="n">
        <v>5000</v>
      </c>
      <c r="J10" s="11" t="n">
        <v>80000</v>
      </c>
      <c r="K10" s="11" t="n">
        <v>76000</v>
      </c>
      <c r="L10" s="11" t="n">
        <v>20000</v>
      </c>
      <c r="M10" s="11" t="n">
        <v>26000</v>
      </c>
      <c r="N10" s="11" t="n">
        <v>26000</v>
      </c>
      <c r="O10" s="11" t="n">
        <v>22000</v>
      </c>
      <c r="P10" s="11" t="n">
        <v>96000</v>
      </c>
    </row>
    <row r="11">
      <c r="B11" s="9" t="n"/>
      <c r="C11" s="9" t="n"/>
      <c r="D11" s="10" t="n"/>
      <c r="E11" s="11" t="n"/>
      <c r="F11" s="12" t="n"/>
      <c r="G11" s="12" t="n"/>
      <c r="H11" s="11" t="n"/>
      <c r="I11" s="11" t="n"/>
      <c r="J11" s="11" t="n"/>
      <c r="K11" s="11" t="n"/>
      <c r="L11" s="11" t="n"/>
      <c r="M11" s="11" t="n"/>
      <c r="N11" s="11" t="n"/>
      <c r="O11" s="11" t="n"/>
      <c r="P11" s="11" t="n"/>
    </row>
    <row r="12">
      <c r="B12" s="9" t="n"/>
      <c r="C12" s="9" t="n"/>
      <c r="D12" s="10" t="n"/>
      <c r="E12" s="11" t="n"/>
      <c r="F12" s="12" t="n"/>
      <c r="G12" s="12" t="n"/>
      <c r="H12" s="11" t="n"/>
      <c r="I12" s="11" t="n"/>
      <c r="J12" s="11" t="n"/>
      <c r="K12" s="11" t="n"/>
      <c r="L12" s="11" t="n"/>
      <c r="M12" s="11" t="n"/>
      <c r="N12" s="11" t="n"/>
      <c r="O12" s="11" t="n"/>
      <c r="P12" s="11" t="n"/>
    </row>
    <row r="13">
      <c r="B13" s="9" t="n"/>
      <c r="C13" s="9" t="n"/>
      <c r="D13" s="10" t="n"/>
      <c r="E13" s="11" t="n"/>
      <c r="F13" s="12" t="n"/>
      <c r="G13" s="12" t="n"/>
      <c r="H13" s="11" t="n"/>
      <c r="I13" s="11" t="n"/>
      <c r="J13" s="11" t="n"/>
      <c r="K13" s="11" t="n"/>
      <c r="L13" s="11" t="n"/>
      <c r="M13" s="11" t="n"/>
      <c r="N13" s="11" t="n"/>
      <c r="O13" s="11" t="n"/>
      <c r="P13" s="11" t="n"/>
    </row>
    <row r="14">
      <c r="B14" s="9" t="n"/>
      <c r="C14" s="9" t="n"/>
      <c r="D14" s="10" t="n"/>
      <c r="E14" s="11" t="n"/>
      <c r="F14" s="12" t="n"/>
      <c r="G14" s="12" t="n"/>
      <c r="H14" s="11" t="n"/>
      <c r="I14" s="11" t="n"/>
      <c r="J14" s="11" t="n"/>
      <c r="K14" s="11" t="n"/>
      <c r="L14" s="11" t="n"/>
      <c r="M14" s="11" t="n"/>
      <c r="N14" s="11" t="n"/>
      <c r="O14" s="11" t="n"/>
      <c r="P14" s="11" t="n"/>
    </row>
    <row r="15">
      <c r="B15" s="9" t="n"/>
      <c r="C15" s="9" t="n"/>
      <c r="D15" s="10" t="n"/>
      <c r="E15" s="11" t="n"/>
      <c r="F15" s="12" t="n"/>
      <c r="G15" s="12" t="n"/>
      <c r="H15" s="11" t="n"/>
      <c r="I15" s="11" t="n"/>
      <c r="J15" s="11" t="n"/>
      <c r="K15" s="11" t="n"/>
      <c r="L15" s="11" t="n"/>
      <c r="M15" s="11" t="n"/>
      <c r="N15" s="11" t="n"/>
      <c r="O15" s="11" t="n"/>
      <c r="P15" s="11" t="n"/>
    </row>
    <row r="16">
      <c r="B16" s="9" t="n"/>
      <c r="C16" s="9" t="n"/>
      <c r="D16" s="10" t="n"/>
      <c r="E16" s="11" t="n"/>
      <c r="F16" s="12" t="n"/>
      <c r="G16" s="12" t="n"/>
      <c r="H16" s="11" t="n"/>
      <c r="I16" s="11" t="n"/>
      <c r="J16" s="11" t="n"/>
      <c r="K16" s="11" t="n"/>
      <c r="L16" s="11" t="n"/>
      <c r="M16" s="11" t="n"/>
      <c r="N16" s="11" t="n"/>
      <c r="O16" s="11" t="n"/>
      <c r="P16" s="11" t="n"/>
    </row>
    <row r="17">
      <c r="B17" s="9" t="n"/>
      <c r="C17" s="9" t="n"/>
      <c r="D17" s="10" t="n"/>
      <c r="E17" s="11" t="n"/>
      <c r="F17" s="12" t="n"/>
      <c r="G17" s="12" t="n"/>
      <c r="H17" s="11" t="n"/>
      <c r="I17" s="11" t="n"/>
      <c r="J17" s="11" t="n"/>
      <c r="K17" s="11" t="n"/>
      <c r="L17" s="11" t="n"/>
      <c r="M17" s="11" t="n"/>
      <c r="N17" s="11" t="n"/>
      <c r="O17" s="11" t="n"/>
      <c r="P17" s="11" t="n"/>
    </row>
    <row r="18">
      <c r="B18" s="13" t="inlineStr">
        <is>
          <t>Total ou moyenne pondérée</t>
        </is>
      </c>
      <c r="C18" s="13" t="inlineStr"/>
      <c r="D18" s="14">
        <f>SUM(D8:D17)</f>
        <v>108</v>
      </c>
      <c r="E18" s="15">
        <f>SUM(E8:E17)</f>
        <v>720000</v>
      </c>
      <c r="F18" s="16">
        <f>IFERROR(SUMPRODUCT($E$8:$E$17,F8:F17)/SUM($E$8:$E$17),0)</f>
        <v>0.054444444</v>
      </c>
      <c r="G18" s="16">
        <f>IFERROR(SUMPRODUCT($E$8:$E$17,G8:G17)/SUM($E$8:$E$17),0)</f>
        <v>0.03875</v>
      </c>
      <c r="H18" s="15">
        <f>SUM(H8:H17)</f>
        <v>18000</v>
      </c>
      <c r="I18" s="15">
        <f>SUM(I8:I17)</f>
        <v>8900</v>
      </c>
      <c r="J18" s="15">
        <f>SUM(J8:J17)</f>
        <v>165000</v>
      </c>
      <c r="K18" s="15">
        <f>SUM(K8:K17)</f>
        <v>148500</v>
      </c>
      <c r="L18" s="15">
        <f>SUM(L8:L17)</f>
        <v>38000</v>
      </c>
      <c r="M18" s="15">
        <f>SUM(M8:M17)</f>
        <v>61000</v>
      </c>
      <c r="N18" s="15">
        <f>SUM(N8:N17)</f>
        <v>61000</v>
      </c>
      <c r="O18" s="15">
        <f>SUM(O8:O17)</f>
        <v>45000</v>
      </c>
      <c r="P18" s="15">
        <f>SUM(P8:P17)</f>
        <v>214000</v>
      </c>
    </row>
    <row r="20">
      <c r="B20" s="17" t="inlineStr">
        <is>
          <t>Où trouver les chiffres : quittancement et impayés dans votre logiciel de gestion locative ; charges, travaux, taxe foncière et assurances dans votre grand livre ;</t>
        </is>
      </c>
    </row>
    <row r="21">
      <c r="B21" s="17" t="inlineStr">
        <is>
          <t>annuités dans les tableaux d'amortissement de vos emprunts. Pour un immeuble vacant une partie de l'année, le taux de vacance = lots-mois vides ÷ (lots × 12).</t>
        </is>
      </c>
    </row>
    <row r="22">
      <c r="B22" s="17" t="inlineStr">
        <is>
          <t>Exemple fictif : 40 logements à 500 € par mois de loyer et charges = 240 000 € quittancés ; 28 mois-logement vides = 14 000 €, soit 5,8 % de vacance.</t>
        </is>
      </c>
    </row>
    <row r="24">
      <c r="B24" s="6"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dataValidations count="3">
    <dataValidation sqref="C8:C17" showDropDown="0" showInputMessage="0" showErrorMessage="0" allowBlank="1" type="list">
      <formula1>"Logement,Bureaux,Résidence ou foyer,Mixte"</formula1>
    </dataValidation>
    <dataValidation sqref="F8:G17" showDropDown="0" showInputMessage="0" showErrorMessage="0" allowBlank="1" errorTitle="Taux" error="Saisissez un taux entre 0 % et 100 %." type="decimal" operator="between">
      <formula1>0</formula1>
      <formula2>1</formula2>
    </dataValidation>
    <dataValidation sqref="D8:E17 H8:P17" showDropDown="0" showInputMessage="0" showErrorMessage="0" allowBlank="1" errorTitle="Montant" error="Saisissez un montant positif." type="decimal" operator="greaterThanOrEqual">
      <formula1>0</formula1>
    </dataValidation>
  </dataValidations>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xl/worksheets/sheet3.xml><?xml version="1.0" encoding="utf-8"?>
<worksheet xmlns="http://schemas.openxmlformats.org/spreadsheetml/2006/main">
  <sheetPr>
    <tabColor rgb="003F6491"/>
    <outlinePr summaryBelow="1" summaryRight="1"/>
    <pageSetUpPr fitToPage="1"/>
  </sheetPr>
  <dimension ref="B2:R41"/>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 width="13.5" customWidth="1" min="13" max="13"/>
    <col width="13.5" customWidth="1" min="14" max="14"/>
    <col width="13.5" customWidth="1" min="15" max="15"/>
    <col width="13.5" customWidth="1" min="16" max="16"/>
    <col width="13.5" customWidth="1" min="17" max="17"/>
    <col width="22" customWidth="1" min="18" max="18"/>
  </cols>
  <sheetData>
    <row r="2">
      <c r="B2" s="1" t="inlineStr">
        <is>
          <t>SYNTHÈSE PAR IMMEUBLE</t>
        </is>
      </c>
    </row>
    <row r="3">
      <c r="B3" s="2" t="inlineStr">
        <is>
          <t>Calculée automatiquement à partir de l'onglet « Saisie par immeuble ». Montants annuels en euros ; les montants qui réduisent la trésorerie sont négatifs.</t>
        </is>
      </c>
    </row>
    <row r="7" ht="72" customHeight="1">
      <c r="B7" s="8" t="inlineStr">
        <is>
          <t>Immeuble ou site</t>
        </is>
      </c>
      <c r="C7" s="8" t="inlineStr">
        <is>
          <t>Quittancé</t>
        </is>
      </c>
      <c r="D7" s="8" t="inlineStr">
        <is>
          <t>Vacance</t>
        </is>
      </c>
      <c r="E7" s="8" t="inlineStr">
        <is>
          <t>Impayés</t>
        </is>
      </c>
      <c r="F7" s="8" t="inlineStr">
        <is>
          <t>Charges non régularisées</t>
        </is>
      </c>
      <c r="G7" s="8" t="inlineStr">
        <is>
          <t>Travaux au-delà du budget</t>
        </is>
      </c>
      <c r="H7" s="8" t="inlineStr">
        <is>
          <t>Disponible</t>
        </is>
      </c>
      <c r="I7" s="8" t="inlineStr">
        <is>
          <t>Part du quittancé disponible</t>
        </is>
      </c>
      <c r="J7" s="8" t="inlineStr">
        <is>
          <t>Dépenses prévues (charges, entretien, taxe foncière, autres)</t>
        </is>
      </c>
      <c r="K7" s="8" t="inlineStr">
        <is>
          <t>Résultat avant emprunt</t>
        </is>
      </c>
      <c r="L7" s="8" t="inlineStr">
        <is>
          <t>Annuités d'emprunt</t>
        </is>
      </c>
      <c r="M7" s="8" t="inlineStr">
        <is>
          <t>Trésorerie dégagée</t>
        </is>
      </c>
      <c r="N7" s="8" t="inlineStr">
        <is>
          <t>Trésorerie dégagée budgétée</t>
        </is>
      </c>
      <c r="O7" s="8" t="inlineStr">
        <is>
          <t>Écart au budget</t>
        </is>
      </c>
      <c r="P7" s="8" t="inlineStr">
        <is>
          <t>Trésorerie dégagée par lot</t>
        </is>
      </c>
      <c r="Q7" s="8" t="inlineStr">
        <is>
          <t>Classement (trésorerie dégagée)</t>
        </is>
      </c>
      <c r="R7" s="8" t="inlineStr">
        <is>
          <t>Premier poste à travailler</t>
        </is>
      </c>
    </row>
    <row r="8">
      <c r="B8" s="18" t="str">
        <f>IF('Saisie par immeuble'!$B8="","",'Saisie par immeuble'!B8)</f>
        <v>Immeuble A – logements (exemple fictif)</v>
      </c>
      <c r="C8" s="19">
        <f>IF('Saisie par immeuble'!$B8="","",'Saisie par immeuble'!E8)</f>
        <v>240000</v>
      </c>
      <c r="D8" s="19">
        <f>IF('Saisie par immeuble'!$B8="","",-'Saisie par immeuble'!E8*'Saisie par immeuble'!F8)</f>
        <v>-14000</v>
      </c>
      <c r="E8" s="19">
        <f>IF('Saisie par immeuble'!$B8="","",-'Saisie par immeuble'!H8)</f>
        <v>-9000</v>
      </c>
      <c r="F8" s="19">
        <f>IF('Saisie par immeuble'!$B8="","",-('Saisie par immeuble'!J8-'Saisie par immeuble'!K8))</f>
        <v>-11000</v>
      </c>
      <c r="G8" s="19">
        <f>IF('Saisie par immeuble'!$B8="","",-('Saisie par immeuble'!M8-'Saisie par immeuble'!L8))</f>
        <v>-18000</v>
      </c>
      <c r="H8" s="20">
        <f>IF('Saisie par immeuble'!$B8="","",SUM(C8:G8))</f>
        <v>188000</v>
      </c>
      <c r="I8" s="21">
        <f>IF('Saisie par immeuble'!$B8="","",IFERROR(H8/C8,0))</f>
        <v>0.783333333</v>
      </c>
      <c r="J8" s="19">
        <f>IF('Saisie par immeuble'!$B8="","",-('Saisie par immeuble'!K8+'Saisie par immeuble'!L8+'Saisie par immeuble'!N8+'Saisie par immeuble'!O8))</f>
        <v>-96000</v>
      </c>
      <c r="K8" s="20">
        <f>IF('Saisie par immeuble'!$B8="","",H8+J8)</f>
        <v>92000</v>
      </c>
      <c r="L8" s="19">
        <f>IF('Saisie par immeuble'!$B8="","",-'Saisie par immeuble'!P8)</f>
        <v>-70000</v>
      </c>
      <c r="M8" s="20">
        <f>IF('Saisie par immeuble'!$B8="","",K8+L8)</f>
        <v>22000</v>
      </c>
      <c r="N8">
        <f>IF('Saisie par immeuble'!$B8="","",C8*(1-'Saisie par immeuble'!G8)-'Saisie par immeuble'!I8-'Saisie par immeuble'!K8-'Saisie par immeuble'!L8-'Saisie par immeuble'!N8-'Saisie par immeuble'!O8-'Saisie par immeuble'!P8)</f>
        <v>64400</v>
      </c>
      <c r="O8" s="20">
        <f>IF('Saisie par immeuble'!$B8="","",M8-N8)</f>
        <v>-42400</v>
      </c>
      <c r="P8" s="19">
        <f>IF('Saisie par immeuble'!$B8="","",IFERROR(M8/'Saisie par immeuble'!D8,0))</f>
        <v>550</v>
      </c>
      <c r="Q8" s="22">
        <f>IF('Saisie par immeuble'!$B8="","",RANK(M8,$M$8:$M$17,0))</f>
        <v>3</v>
      </c>
      <c r="R8" s="23" t="str">
        <f>IF('Saisie par immeuble'!$B8="","",IF(MIN(D8:G8)&gt;=0,"Aucun",CHOOSE(MATCH(MIN(D8:G8),D8:G8,0),"Vacance","Impayés","Charges non régularisées","Travaux non prévus")))</f>
        <v>Travaux non prévus</v>
      </c>
    </row>
    <row r="9">
      <c r="B9" s="18" t="str">
        <f>IF('Saisie par immeuble'!$B9="","",'Saisie par immeuble'!B9)</f>
        <v>Immeuble B – bureaux (exemple fictif)</v>
      </c>
      <c r="C9" s="19">
        <f>IF('Saisie par immeuble'!$B9="","",'Saisie par immeuble'!E9)</f>
        <v>150000</v>
      </c>
      <c r="D9" s="19">
        <f>IF('Saisie par immeuble'!$B9="","",-'Saisie par immeuble'!E9*'Saisie par immeuble'!F9)</f>
        <v>-12000</v>
      </c>
      <c r="E9" s="19">
        <f>IF('Saisie par immeuble'!$B9="","",-'Saisie par immeuble'!H9)</f>
        <v>-3000</v>
      </c>
      <c r="F9" s="19">
        <f>IF('Saisie par immeuble'!$B9="","",-('Saisie par immeuble'!J9-'Saisie par immeuble'!K9))</f>
        <v>-1500</v>
      </c>
      <c r="G9" s="19">
        <f>IF('Saisie par immeuble'!$B9="","",-('Saisie par immeuble'!M9-'Saisie par immeuble'!L9))</f>
        <v>1000</v>
      </c>
      <c r="H9" s="20">
        <f>IF('Saisie par immeuble'!$B9="","",SUM(C9:G9))</f>
        <v>134500</v>
      </c>
      <c r="I9" s="21">
        <f>IF('Saisie par immeuble'!$B9="","",IFERROR(H9/C9,0))</f>
        <v>0.896666667</v>
      </c>
      <c r="J9" s="19">
        <f>IF('Saisie par immeuble'!$B9="","",-('Saisie par immeuble'!K9+'Saisie par immeuble'!L9+'Saisie par immeuble'!N9+'Saisie par immeuble'!O9))</f>
        <v>-52500</v>
      </c>
      <c r="K9" s="20">
        <f>IF('Saisie par immeuble'!$B9="","",H9+J9)</f>
        <v>82000</v>
      </c>
      <c r="L9" s="19">
        <f>IF('Saisie par immeuble'!$B9="","",-'Saisie par immeuble'!P9)</f>
        <v>-48000</v>
      </c>
      <c r="M9" s="20">
        <f>IF('Saisie par immeuble'!$B9="","",K9+L9)</f>
        <v>34000</v>
      </c>
      <c r="N9">
        <f>IF('Saisie par immeuble'!$B9="","",C9*(1-'Saisie par immeuble'!G9)-'Saisie par immeuble'!I9-'Saisie par immeuble'!K9-'Saisie par immeuble'!L9-'Saisie par immeuble'!N9-'Saisie par immeuble'!O9-'Saisie par immeuble'!P9)</f>
        <v>40500</v>
      </c>
      <c r="O9" s="20">
        <f>IF('Saisie par immeuble'!$B9="","",M9-N9)</f>
        <v>-6500</v>
      </c>
      <c r="P9" s="19">
        <f>IF('Saisie par immeuble'!$B9="","",IFERROR(M9/'Saisie par immeuble'!D9,0))</f>
        <v>4250</v>
      </c>
      <c r="Q9" s="22">
        <f>IF('Saisie par immeuble'!$B9="","",RANK(M9,$M$8:$M$17,0))</f>
        <v>2</v>
      </c>
      <c r="R9" s="23" t="str">
        <f>IF('Saisie par immeuble'!$B9="","",IF(MIN(D9:G9)&gt;=0,"Aucun",CHOOSE(MATCH(MIN(D9:G9),D9:G9,0),"Vacance","Impayés","Charges non régularisées","Travaux non prévus")))</f>
        <v>Vacance</v>
      </c>
    </row>
    <row r="10">
      <c r="B10" s="18" t="str">
        <f>IF('Saisie par immeuble'!$B10="","",'Saisie par immeuble'!B10)</f>
        <v>Résidence C – logements (exemple fictif)</v>
      </c>
      <c r="C10" s="19">
        <f>IF('Saisie par immeuble'!$B10="","",'Saisie par immeuble'!E10)</f>
        <v>330000</v>
      </c>
      <c r="D10" s="19">
        <f>IF('Saisie par immeuble'!$B10="","",-'Saisie par immeuble'!E10*'Saisie par immeuble'!F10)</f>
        <v>-13200</v>
      </c>
      <c r="E10" s="19">
        <f>IF('Saisie par immeuble'!$B10="","",-'Saisie par immeuble'!H10)</f>
        <v>-6000</v>
      </c>
      <c r="F10" s="19">
        <f>IF('Saisie par immeuble'!$B10="","",-('Saisie par immeuble'!J10-'Saisie par immeuble'!K10))</f>
        <v>-4000</v>
      </c>
      <c r="G10" s="19">
        <f>IF('Saisie par immeuble'!$B10="","",-('Saisie par immeuble'!M10-'Saisie par immeuble'!L10))</f>
        <v>-6000</v>
      </c>
      <c r="H10" s="20">
        <f>IF('Saisie par immeuble'!$B10="","",SUM(C10:G10))</f>
        <v>300800</v>
      </c>
      <c r="I10" s="21">
        <f>IF('Saisie par immeuble'!$B10="","",IFERROR(H10/C10,0))</f>
        <v>0.911515152</v>
      </c>
      <c r="J10" s="19">
        <f>IF('Saisie par immeuble'!$B10="","",-('Saisie par immeuble'!K10+'Saisie par immeuble'!L10+'Saisie par immeuble'!N10+'Saisie par immeuble'!O10))</f>
        <v>-144000</v>
      </c>
      <c r="K10" s="20">
        <f>IF('Saisie par immeuble'!$B10="","",H10+J10)</f>
        <v>156800</v>
      </c>
      <c r="L10" s="19">
        <f>IF('Saisie par immeuble'!$B10="","",-'Saisie par immeuble'!P10)</f>
        <v>-96000</v>
      </c>
      <c r="M10" s="20">
        <f>IF('Saisie par immeuble'!$B10="","",K10+L10)</f>
        <v>60800</v>
      </c>
      <c r="N10">
        <f>IF('Saisie par immeuble'!$B10="","",C10*(1-'Saisie par immeuble'!G10)-'Saisie par immeuble'!I10-'Saisie par immeuble'!K10-'Saisie par immeuble'!L10-'Saisie par immeuble'!N10-'Saisie par immeuble'!O10-'Saisie par immeuble'!P10)</f>
        <v>71800</v>
      </c>
      <c r="O10" s="20">
        <f>IF('Saisie par immeuble'!$B10="","",M10-N10)</f>
        <v>-11000</v>
      </c>
      <c r="P10" s="19">
        <f>IF('Saisie par immeuble'!$B10="","",IFERROR(M10/'Saisie par immeuble'!D10,0))</f>
        <v>1013.333333333</v>
      </c>
      <c r="Q10" s="22">
        <f>IF('Saisie par immeuble'!$B10="","",RANK(M10,$M$8:$M$17,0))</f>
        <v>1</v>
      </c>
      <c r="R10" s="23" t="str">
        <f>IF('Saisie par immeuble'!$B10="","",IF(MIN(D10:G10)&gt;=0,"Aucun",CHOOSE(MATCH(MIN(D10:G10),D10:G10,0),"Vacance","Impayés","Charges non régularisées","Travaux non prévus")))</f>
        <v>Vacance</v>
      </c>
    </row>
    <row r="11">
      <c r="B11" s="18" t="str">
        <f>IF('Saisie par immeuble'!$B11="","",'Saisie par immeuble'!B11)</f>
        <v/>
      </c>
      <c r="C11" s="19" t="str">
        <f>IF('Saisie par immeuble'!$B11="","",'Saisie par immeuble'!E11)</f>
        <v/>
      </c>
      <c r="D11" s="19" t="str">
        <f>IF('Saisie par immeuble'!$B11="","",-'Saisie par immeuble'!E11*'Saisie par immeuble'!F11)</f>
        <v/>
      </c>
      <c r="E11" s="19" t="str">
        <f>IF('Saisie par immeuble'!$B11="","",-'Saisie par immeuble'!H11)</f>
        <v/>
      </c>
      <c r="F11" s="19" t="str">
        <f>IF('Saisie par immeuble'!$B11="","",-('Saisie par immeuble'!J11-'Saisie par immeuble'!K11))</f>
        <v/>
      </c>
      <c r="G11" s="19" t="str">
        <f>IF('Saisie par immeuble'!$B11="","",-('Saisie par immeuble'!M11-'Saisie par immeuble'!L11))</f>
        <v/>
      </c>
      <c r="H11" s="20" t="str">
        <f>IF('Saisie par immeuble'!$B11="","",SUM(C11:G11))</f>
        <v/>
      </c>
      <c r="I11" s="21" t="str">
        <f>IF('Saisie par immeuble'!$B11="","",IFERROR(H11/C11,0))</f>
        <v/>
      </c>
      <c r="J11" s="19" t="str">
        <f>IF('Saisie par immeuble'!$B11="","",-('Saisie par immeuble'!K11+'Saisie par immeuble'!L11+'Saisie par immeuble'!N11+'Saisie par immeuble'!O11))</f>
        <v/>
      </c>
      <c r="K11" s="20" t="str">
        <f>IF('Saisie par immeuble'!$B11="","",H11+J11)</f>
        <v/>
      </c>
      <c r="L11" s="19" t="str">
        <f>IF('Saisie par immeuble'!$B11="","",-'Saisie par immeuble'!P11)</f>
        <v/>
      </c>
      <c r="M11" s="20" t="str">
        <f>IF('Saisie par immeuble'!$B11="","",K11+L11)</f>
        <v/>
      </c>
      <c r="N11" t="str">
        <f>IF('Saisie par immeuble'!$B11="","",C11*(1-'Saisie par immeuble'!G11)-'Saisie par immeuble'!I11-'Saisie par immeuble'!K11-'Saisie par immeuble'!L11-'Saisie par immeuble'!N11-'Saisie par immeuble'!O11-'Saisie par immeuble'!P11)</f>
        <v/>
      </c>
      <c r="O11" s="20" t="str">
        <f>IF('Saisie par immeuble'!$B11="","",M11-N11)</f>
        <v/>
      </c>
      <c r="P11" s="19" t="str">
        <f>IF('Saisie par immeuble'!$B11="","",IFERROR(M11/'Saisie par immeuble'!D11,0))</f>
        <v/>
      </c>
      <c r="Q11" s="22" t="str">
        <f>IF('Saisie par immeuble'!$B11="","",RANK(M11,$M$8:$M$17,0))</f>
        <v/>
      </c>
      <c r="R11" s="23" t="str">
        <f>IF('Saisie par immeuble'!$B11="","",IF(MIN(D11:G11)&gt;=0,"Aucun",CHOOSE(MATCH(MIN(D11:G11),D11:G11,0),"Vacance","Impayés","Charges non régularisées","Travaux non prévus")))</f>
        <v/>
      </c>
    </row>
    <row r="12">
      <c r="B12" s="18" t="str">
        <f>IF('Saisie par immeuble'!$B12="","",'Saisie par immeuble'!B12)</f>
        <v/>
      </c>
      <c r="C12" s="19" t="str">
        <f>IF('Saisie par immeuble'!$B12="","",'Saisie par immeuble'!E12)</f>
        <v/>
      </c>
      <c r="D12" s="19" t="str">
        <f>IF('Saisie par immeuble'!$B12="","",-'Saisie par immeuble'!E12*'Saisie par immeuble'!F12)</f>
        <v/>
      </c>
      <c r="E12" s="19" t="str">
        <f>IF('Saisie par immeuble'!$B12="","",-'Saisie par immeuble'!H12)</f>
        <v/>
      </c>
      <c r="F12" s="19" t="str">
        <f>IF('Saisie par immeuble'!$B12="","",-('Saisie par immeuble'!J12-'Saisie par immeuble'!K12))</f>
        <v/>
      </c>
      <c r="G12" s="19" t="str">
        <f>IF('Saisie par immeuble'!$B12="","",-('Saisie par immeuble'!M12-'Saisie par immeuble'!L12))</f>
        <v/>
      </c>
      <c r="H12" s="20" t="str">
        <f>IF('Saisie par immeuble'!$B12="","",SUM(C12:G12))</f>
        <v/>
      </c>
      <c r="I12" s="21" t="str">
        <f>IF('Saisie par immeuble'!$B12="","",IFERROR(H12/C12,0))</f>
        <v/>
      </c>
      <c r="J12" s="19" t="str">
        <f>IF('Saisie par immeuble'!$B12="","",-('Saisie par immeuble'!K12+'Saisie par immeuble'!L12+'Saisie par immeuble'!N12+'Saisie par immeuble'!O12))</f>
        <v/>
      </c>
      <c r="K12" s="20" t="str">
        <f>IF('Saisie par immeuble'!$B12="","",H12+J12)</f>
        <v/>
      </c>
      <c r="L12" s="19" t="str">
        <f>IF('Saisie par immeuble'!$B12="","",-'Saisie par immeuble'!P12)</f>
        <v/>
      </c>
      <c r="M12" s="20" t="str">
        <f>IF('Saisie par immeuble'!$B12="","",K12+L12)</f>
        <v/>
      </c>
      <c r="N12" t="str">
        <f>IF('Saisie par immeuble'!$B12="","",C12*(1-'Saisie par immeuble'!G12)-'Saisie par immeuble'!I12-'Saisie par immeuble'!K12-'Saisie par immeuble'!L12-'Saisie par immeuble'!N12-'Saisie par immeuble'!O12-'Saisie par immeuble'!P12)</f>
        <v/>
      </c>
      <c r="O12" s="20" t="str">
        <f>IF('Saisie par immeuble'!$B12="","",M12-N12)</f>
        <v/>
      </c>
      <c r="P12" s="19" t="str">
        <f>IF('Saisie par immeuble'!$B12="","",IFERROR(M12/'Saisie par immeuble'!D12,0))</f>
        <v/>
      </c>
      <c r="Q12" s="22" t="str">
        <f>IF('Saisie par immeuble'!$B12="","",RANK(M12,$M$8:$M$17,0))</f>
        <v/>
      </c>
      <c r="R12" s="23" t="str">
        <f>IF('Saisie par immeuble'!$B12="","",IF(MIN(D12:G12)&gt;=0,"Aucun",CHOOSE(MATCH(MIN(D12:G12),D12:G12,0),"Vacance","Impayés","Charges non régularisées","Travaux non prévus")))</f>
        <v/>
      </c>
    </row>
    <row r="13">
      <c r="B13" s="18" t="str">
        <f>IF('Saisie par immeuble'!$B13="","",'Saisie par immeuble'!B13)</f>
        <v/>
      </c>
      <c r="C13" s="19" t="str">
        <f>IF('Saisie par immeuble'!$B13="","",'Saisie par immeuble'!E13)</f>
        <v/>
      </c>
      <c r="D13" s="19" t="str">
        <f>IF('Saisie par immeuble'!$B13="","",-'Saisie par immeuble'!E13*'Saisie par immeuble'!F13)</f>
        <v/>
      </c>
      <c r="E13" s="19" t="str">
        <f>IF('Saisie par immeuble'!$B13="","",-'Saisie par immeuble'!H13)</f>
        <v/>
      </c>
      <c r="F13" s="19" t="str">
        <f>IF('Saisie par immeuble'!$B13="","",-('Saisie par immeuble'!J13-'Saisie par immeuble'!K13))</f>
        <v/>
      </c>
      <c r="G13" s="19" t="str">
        <f>IF('Saisie par immeuble'!$B13="","",-('Saisie par immeuble'!M13-'Saisie par immeuble'!L13))</f>
        <v/>
      </c>
      <c r="H13" s="20" t="str">
        <f>IF('Saisie par immeuble'!$B13="","",SUM(C13:G13))</f>
        <v/>
      </c>
      <c r="I13" s="21" t="str">
        <f>IF('Saisie par immeuble'!$B13="","",IFERROR(H13/C13,0))</f>
        <v/>
      </c>
      <c r="J13" s="19" t="str">
        <f>IF('Saisie par immeuble'!$B13="","",-('Saisie par immeuble'!K13+'Saisie par immeuble'!L13+'Saisie par immeuble'!N13+'Saisie par immeuble'!O13))</f>
        <v/>
      </c>
      <c r="K13" s="20" t="str">
        <f>IF('Saisie par immeuble'!$B13="","",H13+J13)</f>
        <v/>
      </c>
      <c r="L13" s="19" t="str">
        <f>IF('Saisie par immeuble'!$B13="","",-'Saisie par immeuble'!P13)</f>
        <v/>
      </c>
      <c r="M13" s="20" t="str">
        <f>IF('Saisie par immeuble'!$B13="","",K13+L13)</f>
        <v/>
      </c>
      <c r="N13" t="str">
        <f>IF('Saisie par immeuble'!$B13="","",C13*(1-'Saisie par immeuble'!G13)-'Saisie par immeuble'!I13-'Saisie par immeuble'!K13-'Saisie par immeuble'!L13-'Saisie par immeuble'!N13-'Saisie par immeuble'!O13-'Saisie par immeuble'!P13)</f>
        <v/>
      </c>
      <c r="O13" s="20" t="str">
        <f>IF('Saisie par immeuble'!$B13="","",M13-N13)</f>
        <v/>
      </c>
      <c r="P13" s="19" t="str">
        <f>IF('Saisie par immeuble'!$B13="","",IFERROR(M13/'Saisie par immeuble'!D13,0))</f>
        <v/>
      </c>
      <c r="Q13" s="22" t="str">
        <f>IF('Saisie par immeuble'!$B13="","",RANK(M13,$M$8:$M$17,0))</f>
        <v/>
      </c>
      <c r="R13" s="23" t="str">
        <f>IF('Saisie par immeuble'!$B13="","",IF(MIN(D13:G13)&gt;=0,"Aucun",CHOOSE(MATCH(MIN(D13:G13),D13:G13,0),"Vacance","Impayés","Charges non régularisées","Travaux non prévus")))</f>
        <v/>
      </c>
    </row>
    <row r="14">
      <c r="B14" s="18" t="str">
        <f>IF('Saisie par immeuble'!$B14="","",'Saisie par immeuble'!B14)</f>
        <v/>
      </c>
      <c r="C14" s="19" t="str">
        <f>IF('Saisie par immeuble'!$B14="","",'Saisie par immeuble'!E14)</f>
        <v/>
      </c>
      <c r="D14" s="19" t="str">
        <f>IF('Saisie par immeuble'!$B14="","",-'Saisie par immeuble'!E14*'Saisie par immeuble'!F14)</f>
        <v/>
      </c>
      <c r="E14" s="19" t="str">
        <f>IF('Saisie par immeuble'!$B14="","",-'Saisie par immeuble'!H14)</f>
        <v/>
      </c>
      <c r="F14" s="19" t="str">
        <f>IF('Saisie par immeuble'!$B14="","",-('Saisie par immeuble'!J14-'Saisie par immeuble'!K14))</f>
        <v/>
      </c>
      <c r="G14" s="19" t="str">
        <f>IF('Saisie par immeuble'!$B14="","",-('Saisie par immeuble'!M14-'Saisie par immeuble'!L14))</f>
        <v/>
      </c>
      <c r="H14" s="20" t="str">
        <f>IF('Saisie par immeuble'!$B14="","",SUM(C14:G14))</f>
        <v/>
      </c>
      <c r="I14" s="21" t="str">
        <f>IF('Saisie par immeuble'!$B14="","",IFERROR(H14/C14,0))</f>
        <v/>
      </c>
      <c r="J14" s="19" t="str">
        <f>IF('Saisie par immeuble'!$B14="","",-('Saisie par immeuble'!K14+'Saisie par immeuble'!L14+'Saisie par immeuble'!N14+'Saisie par immeuble'!O14))</f>
        <v/>
      </c>
      <c r="K14" s="20" t="str">
        <f>IF('Saisie par immeuble'!$B14="","",H14+J14)</f>
        <v/>
      </c>
      <c r="L14" s="19" t="str">
        <f>IF('Saisie par immeuble'!$B14="","",-'Saisie par immeuble'!P14)</f>
        <v/>
      </c>
      <c r="M14" s="20" t="str">
        <f>IF('Saisie par immeuble'!$B14="","",K14+L14)</f>
        <v/>
      </c>
      <c r="N14" t="str">
        <f>IF('Saisie par immeuble'!$B14="","",C14*(1-'Saisie par immeuble'!G14)-'Saisie par immeuble'!I14-'Saisie par immeuble'!K14-'Saisie par immeuble'!L14-'Saisie par immeuble'!N14-'Saisie par immeuble'!O14-'Saisie par immeuble'!P14)</f>
        <v/>
      </c>
      <c r="O14" s="20" t="str">
        <f>IF('Saisie par immeuble'!$B14="","",M14-N14)</f>
        <v/>
      </c>
      <c r="P14" s="19" t="str">
        <f>IF('Saisie par immeuble'!$B14="","",IFERROR(M14/'Saisie par immeuble'!D14,0))</f>
        <v/>
      </c>
      <c r="Q14" s="22" t="str">
        <f>IF('Saisie par immeuble'!$B14="","",RANK(M14,$M$8:$M$17,0))</f>
        <v/>
      </c>
      <c r="R14" s="23" t="str">
        <f>IF('Saisie par immeuble'!$B14="","",IF(MIN(D14:G14)&gt;=0,"Aucun",CHOOSE(MATCH(MIN(D14:G14),D14:G14,0),"Vacance","Impayés","Charges non régularisées","Travaux non prévus")))</f>
        <v/>
      </c>
    </row>
    <row r="15">
      <c r="B15" s="18" t="str">
        <f>IF('Saisie par immeuble'!$B15="","",'Saisie par immeuble'!B15)</f>
        <v/>
      </c>
      <c r="C15" s="19" t="str">
        <f>IF('Saisie par immeuble'!$B15="","",'Saisie par immeuble'!E15)</f>
        <v/>
      </c>
      <c r="D15" s="19" t="str">
        <f>IF('Saisie par immeuble'!$B15="","",-'Saisie par immeuble'!E15*'Saisie par immeuble'!F15)</f>
        <v/>
      </c>
      <c r="E15" s="19" t="str">
        <f>IF('Saisie par immeuble'!$B15="","",-'Saisie par immeuble'!H15)</f>
        <v/>
      </c>
      <c r="F15" s="19" t="str">
        <f>IF('Saisie par immeuble'!$B15="","",-('Saisie par immeuble'!J15-'Saisie par immeuble'!K15))</f>
        <v/>
      </c>
      <c r="G15" s="19" t="str">
        <f>IF('Saisie par immeuble'!$B15="","",-('Saisie par immeuble'!M15-'Saisie par immeuble'!L15))</f>
        <v/>
      </c>
      <c r="H15" s="20" t="str">
        <f>IF('Saisie par immeuble'!$B15="","",SUM(C15:G15))</f>
        <v/>
      </c>
      <c r="I15" s="21" t="str">
        <f>IF('Saisie par immeuble'!$B15="","",IFERROR(H15/C15,0))</f>
        <v/>
      </c>
      <c r="J15" s="19" t="str">
        <f>IF('Saisie par immeuble'!$B15="","",-('Saisie par immeuble'!K15+'Saisie par immeuble'!L15+'Saisie par immeuble'!N15+'Saisie par immeuble'!O15))</f>
        <v/>
      </c>
      <c r="K15" s="20" t="str">
        <f>IF('Saisie par immeuble'!$B15="","",H15+J15)</f>
        <v/>
      </c>
      <c r="L15" s="19" t="str">
        <f>IF('Saisie par immeuble'!$B15="","",-'Saisie par immeuble'!P15)</f>
        <v/>
      </c>
      <c r="M15" s="20" t="str">
        <f>IF('Saisie par immeuble'!$B15="","",K15+L15)</f>
        <v/>
      </c>
      <c r="N15" t="str">
        <f>IF('Saisie par immeuble'!$B15="","",C15*(1-'Saisie par immeuble'!G15)-'Saisie par immeuble'!I15-'Saisie par immeuble'!K15-'Saisie par immeuble'!L15-'Saisie par immeuble'!N15-'Saisie par immeuble'!O15-'Saisie par immeuble'!P15)</f>
        <v/>
      </c>
      <c r="O15" s="20" t="str">
        <f>IF('Saisie par immeuble'!$B15="","",M15-N15)</f>
        <v/>
      </c>
      <c r="P15" s="19" t="str">
        <f>IF('Saisie par immeuble'!$B15="","",IFERROR(M15/'Saisie par immeuble'!D15,0))</f>
        <v/>
      </c>
      <c r="Q15" s="22" t="str">
        <f>IF('Saisie par immeuble'!$B15="","",RANK(M15,$M$8:$M$17,0))</f>
        <v/>
      </c>
      <c r="R15" s="23" t="str">
        <f>IF('Saisie par immeuble'!$B15="","",IF(MIN(D15:G15)&gt;=0,"Aucun",CHOOSE(MATCH(MIN(D15:G15),D15:G15,0),"Vacance","Impayés","Charges non régularisées","Travaux non prévus")))</f>
        <v/>
      </c>
    </row>
    <row r="16">
      <c r="B16" s="18" t="str">
        <f>IF('Saisie par immeuble'!$B16="","",'Saisie par immeuble'!B16)</f>
        <v/>
      </c>
      <c r="C16" s="19" t="str">
        <f>IF('Saisie par immeuble'!$B16="","",'Saisie par immeuble'!E16)</f>
        <v/>
      </c>
      <c r="D16" s="19" t="str">
        <f>IF('Saisie par immeuble'!$B16="","",-'Saisie par immeuble'!E16*'Saisie par immeuble'!F16)</f>
        <v/>
      </c>
      <c r="E16" s="19" t="str">
        <f>IF('Saisie par immeuble'!$B16="","",-'Saisie par immeuble'!H16)</f>
        <v/>
      </c>
      <c r="F16" s="19" t="str">
        <f>IF('Saisie par immeuble'!$B16="","",-('Saisie par immeuble'!J16-'Saisie par immeuble'!K16))</f>
        <v/>
      </c>
      <c r="G16" s="19" t="str">
        <f>IF('Saisie par immeuble'!$B16="","",-('Saisie par immeuble'!M16-'Saisie par immeuble'!L16))</f>
        <v/>
      </c>
      <c r="H16" s="20" t="str">
        <f>IF('Saisie par immeuble'!$B16="","",SUM(C16:G16))</f>
        <v/>
      </c>
      <c r="I16" s="21" t="str">
        <f>IF('Saisie par immeuble'!$B16="","",IFERROR(H16/C16,0))</f>
        <v/>
      </c>
      <c r="J16" s="19" t="str">
        <f>IF('Saisie par immeuble'!$B16="","",-('Saisie par immeuble'!K16+'Saisie par immeuble'!L16+'Saisie par immeuble'!N16+'Saisie par immeuble'!O16))</f>
        <v/>
      </c>
      <c r="K16" s="20" t="str">
        <f>IF('Saisie par immeuble'!$B16="","",H16+J16)</f>
        <v/>
      </c>
      <c r="L16" s="19" t="str">
        <f>IF('Saisie par immeuble'!$B16="","",-'Saisie par immeuble'!P16)</f>
        <v/>
      </c>
      <c r="M16" s="20" t="str">
        <f>IF('Saisie par immeuble'!$B16="","",K16+L16)</f>
        <v/>
      </c>
      <c r="N16" t="str">
        <f>IF('Saisie par immeuble'!$B16="","",C16*(1-'Saisie par immeuble'!G16)-'Saisie par immeuble'!I16-'Saisie par immeuble'!K16-'Saisie par immeuble'!L16-'Saisie par immeuble'!N16-'Saisie par immeuble'!O16-'Saisie par immeuble'!P16)</f>
        <v/>
      </c>
      <c r="O16" s="20" t="str">
        <f>IF('Saisie par immeuble'!$B16="","",M16-N16)</f>
        <v/>
      </c>
      <c r="P16" s="19" t="str">
        <f>IF('Saisie par immeuble'!$B16="","",IFERROR(M16/'Saisie par immeuble'!D16,0))</f>
        <v/>
      </c>
      <c r="Q16" s="22" t="str">
        <f>IF('Saisie par immeuble'!$B16="","",RANK(M16,$M$8:$M$17,0))</f>
        <v/>
      </c>
      <c r="R16" s="23" t="str">
        <f>IF('Saisie par immeuble'!$B16="","",IF(MIN(D16:G16)&gt;=0,"Aucun",CHOOSE(MATCH(MIN(D16:G16),D16:G16,0),"Vacance","Impayés","Charges non régularisées","Travaux non prévus")))</f>
        <v/>
      </c>
    </row>
    <row r="17">
      <c r="B17" s="18" t="str">
        <f>IF('Saisie par immeuble'!$B17="","",'Saisie par immeuble'!B17)</f>
        <v/>
      </c>
      <c r="C17" s="19" t="str">
        <f>IF('Saisie par immeuble'!$B17="","",'Saisie par immeuble'!E17)</f>
        <v/>
      </c>
      <c r="D17" s="19" t="str">
        <f>IF('Saisie par immeuble'!$B17="","",-'Saisie par immeuble'!E17*'Saisie par immeuble'!F17)</f>
        <v/>
      </c>
      <c r="E17" s="19" t="str">
        <f>IF('Saisie par immeuble'!$B17="","",-'Saisie par immeuble'!H17)</f>
        <v/>
      </c>
      <c r="F17" s="19" t="str">
        <f>IF('Saisie par immeuble'!$B17="","",-('Saisie par immeuble'!J17-'Saisie par immeuble'!K17))</f>
        <v/>
      </c>
      <c r="G17" s="19" t="str">
        <f>IF('Saisie par immeuble'!$B17="","",-('Saisie par immeuble'!M17-'Saisie par immeuble'!L17))</f>
        <v/>
      </c>
      <c r="H17" s="20" t="str">
        <f>IF('Saisie par immeuble'!$B17="","",SUM(C17:G17))</f>
        <v/>
      </c>
      <c r="I17" s="21" t="str">
        <f>IF('Saisie par immeuble'!$B17="","",IFERROR(H17/C17,0))</f>
        <v/>
      </c>
      <c r="J17" s="19" t="str">
        <f>IF('Saisie par immeuble'!$B17="","",-('Saisie par immeuble'!K17+'Saisie par immeuble'!L17+'Saisie par immeuble'!N17+'Saisie par immeuble'!O17))</f>
        <v/>
      </c>
      <c r="K17" s="20" t="str">
        <f>IF('Saisie par immeuble'!$B17="","",H17+J17)</f>
        <v/>
      </c>
      <c r="L17" s="19" t="str">
        <f>IF('Saisie par immeuble'!$B17="","",-'Saisie par immeuble'!P17)</f>
        <v/>
      </c>
      <c r="M17" s="20" t="str">
        <f>IF('Saisie par immeuble'!$B17="","",K17+L17)</f>
        <v/>
      </c>
      <c r="N17" t="str">
        <f>IF('Saisie par immeuble'!$B17="","",C17*(1-'Saisie par immeuble'!G17)-'Saisie par immeuble'!I17-'Saisie par immeuble'!K17-'Saisie par immeuble'!L17-'Saisie par immeuble'!N17-'Saisie par immeuble'!O17-'Saisie par immeuble'!P17)</f>
        <v/>
      </c>
      <c r="O17" s="20" t="str">
        <f>IF('Saisie par immeuble'!$B17="","",M17-N17)</f>
        <v/>
      </c>
      <c r="P17" s="19" t="str">
        <f>IF('Saisie par immeuble'!$B17="","",IFERROR(M17/'Saisie par immeuble'!D17,0))</f>
        <v/>
      </c>
      <c r="Q17" s="22" t="str">
        <f>IF('Saisie par immeuble'!$B17="","",RANK(M17,$M$8:$M$17,0))</f>
        <v/>
      </c>
      <c r="R17" s="23" t="str">
        <f>IF('Saisie par immeuble'!$B17="","",IF(MIN(D17:G17)&gt;=0,"Aucun",CHOOSE(MATCH(MIN(D17:G17),D17:G17,0),"Vacance","Impayés","Charges non régularisées","Travaux non prévus")))</f>
        <v/>
      </c>
    </row>
    <row r="18">
      <c r="B18" s="13" t="inlineStr">
        <is>
          <t>Total</t>
        </is>
      </c>
      <c r="C18" s="15">
        <f>SUM(C8:C17)</f>
        <v>720000</v>
      </c>
      <c r="D18" s="15">
        <f>SUM(D8:D17)</f>
        <v>-39200</v>
      </c>
      <c r="E18" s="15">
        <f>SUM(E8:E17)</f>
        <v>-18000</v>
      </c>
      <c r="F18" s="15">
        <f>SUM(F8:F17)</f>
        <v>-16500</v>
      </c>
      <c r="G18" s="15">
        <f>SUM(G8:G17)</f>
        <v>-23000</v>
      </c>
      <c r="H18" s="15">
        <f>SUM(H8:H17)</f>
        <v>623300</v>
      </c>
      <c r="I18" s="16">
        <f>IFERROR(H18/C18,0)</f>
        <v>0.865694444</v>
      </c>
      <c r="J18" s="15">
        <f>SUM(J8:J17)</f>
        <v>-292500</v>
      </c>
      <c r="K18" s="15">
        <f>SUM(K8:K17)</f>
        <v>330800</v>
      </c>
      <c r="L18" s="15">
        <f>SUM(L8:L17)</f>
        <v>-214000</v>
      </c>
      <c r="M18" s="15">
        <f>SUM(M8:M17)</f>
        <v>116800</v>
      </c>
      <c r="N18" s="15">
        <f>SUM(N8:N17)</f>
        <v>176700</v>
      </c>
      <c r="O18" s="15">
        <f>SUM(O8:O17)</f>
        <v>-59900</v>
      </c>
      <c r="P18" s="15">
        <f>IFERROR(M18/'Saisie par immeuble'!D18,0)</f>
        <v>1081.481481481</v>
      </c>
      <c r="Q18" s="13" t="n"/>
      <c r="R18" s="13" t="n"/>
    </row>
    <row r="21">
      <c r="B21" s="24" t="inlineStr">
        <is>
          <t>ZOOM SUR UN IMMEUBLE : DU QUITTANCÉ AU DISPONIBLE</t>
        </is>
      </c>
    </row>
    <row r="22">
      <c r="B22" s="25" t="inlineStr">
        <is>
          <t>Choisissez l'immeuble :</t>
        </is>
      </c>
      <c r="C22" s="9" t="inlineStr">
        <is>
          <t>Immeuble A – logements (exemple fictif)</t>
        </is>
      </c>
      <c r="D22" s="26" t="n"/>
      <c r="E22" s="26" t="n"/>
      <c r="F22" s="27" t="n"/>
    </row>
    <row r="24" ht="30" customHeight="1">
      <c r="B24" s="8" t="inlineStr">
        <is>
          <t>Poste</t>
        </is>
      </c>
      <c r="C24" s="8" t="inlineStr">
        <is>
          <t>Montant (€)</t>
        </is>
      </c>
      <c r="D24" s="8" t="inlineStr">
        <is>
          <t>En % du quittancé</t>
        </is>
      </c>
    </row>
    <row r="25">
      <c r="B25" s="13" t="inlineStr">
        <is>
          <t>Loyers et charges quittancés</t>
        </is>
      </c>
      <c r="C25" s="15">
        <f>IFERROR(INDEX($C$8:$C$17,MATCH($C$22,$B$8:$B$17,0)),0)</f>
        <v>240000</v>
      </c>
      <c r="D25" s="16">
        <f>IFERROR(C25/$C$25,0)</f>
        <v>1</v>
      </c>
    </row>
    <row r="26">
      <c r="B26" s="23" t="inlineStr">
        <is>
          <t>Vacance locative</t>
        </is>
      </c>
      <c r="C26" s="19">
        <f>IFERROR(INDEX($D$8:$D$17,MATCH($C$22,$B$8:$B$17,0)),0)</f>
        <v>-14000</v>
      </c>
      <c r="D26" s="21">
        <f>IFERROR(C26/$C$25,0)</f>
        <v>-0.058333333</v>
      </c>
    </row>
    <row r="27">
      <c r="B27" s="23" t="inlineStr">
        <is>
          <t>Impayés</t>
        </is>
      </c>
      <c r="C27" s="19">
        <f>IFERROR(INDEX($E$8:$E$17,MATCH($C$22,$B$8:$B$17,0)),0)</f>
        <v>-9000</v>
      </c>
      <c r="D27" s="21">
        <f>IFERROR(C27/$C$25,0)</f>
        <v>-0.0375</v>
      </c>
    </row>
    <row r="28">
      <c r="B28" s="23" t="inlineStr">
        <is>
          <t>Charges récupérables non régularisées</t>
        </is>
      </c>
      <c r="C28" s="19">
        <f>IFERROR(INDEX($F$8:$F$17,MATCH($C$22,$B$8:$B$17,0)),0)</f>
        <v>-11000</v>
      </c>
      <c r="D28" s="21">
        <f>IFERROR(C28/$C$25,0)</f>
        <v>-0.045833333</v>
      </c>
    </row>
    <row r="29">
      <c r="B29" s="23" t="inlineStr">
        <is>
          <t>Travaux au-delà du budget</t>
        </is>
      </c>
      <c r="C29" s="19">
        <f>IFERROR(INDEX($G$8:$G$17,MATCH($C$22,$B$8:$B$17,0)),0)</f>
        <v>-18000</v>
      </c>
      <c r="D29" s="21">
        <f>IFERROR(C29/$C$25,0)</f>
        <v>-0.075</v>
      </c>
    </row>
    <row r="30">
      <c r="B30" s="13" t="inlineStr">
        <is>
          <t>Disponible</t>
        </is>
      </c>
      <c r="C30" s="15">
        <f>IFERROR(INDEX($H$8:$H$17,MATCH($C$22,$B$8:$B$17,0)),0)</f>
        <v>188000</v>
      </c>
      <c r="D30" s="16">
        <f>IFERROR(C30/$C$25,0)</f>
        <v>0.783333333</v>
      </c>
    </row>
    <row r="31">
      <c r="B31" s="23" t="inlineStr">
        <is>
          <t>Dépenses prévues</t>
        </is>
      </c>
      <c r="C31" s="19">
        <f>IFERROR(INDEX($J$8:$J$17,MATCH($C$22,$B$8:$B$17,0)),0)</f>
        <v>-96000</v>
      </c>
      <c r="D31" s="21">
        <f>IFERROR(C31/$C$25,0)</f>
        <v>-0.4</v>
      </c>
    </row>
    <row r="32">
      <c r="B32" s="13" t="inlineStr">
        <is>
          <t>Résultat avant emprunt</t>
        </is>
      </c>
      <c r="C32" s="15">
        <f>IFERROR(INDEX($K$8:$K$17,MATCH($C$22,$B$8:$B$17,0)),0)</f>
        <v>92000</v>
      </c>
      <c r="D32" s="16">
        <f>IFERROR(C32/$C$25,0)</f>
        <v>0.383333333</v>
      </c>
    </row>
    <row r="33">
      <c r="B33" s="23" t="inlineStr">
        <is>
          <t>Annuités d'emprunt</t>
        </is>
      </c>
      <c r="C33" s="19">
        <f>IFERROR(INDEX($L$8:$L$17,MATCH($C$22,$B$8:$B$17,0)),0)</f>
        <v>-70000</v>
      </c>
      <c r="D33" s="21">
        <f>IFERROR(C33/$C$25,0)</f>
        <v>-0.291666667</v>
      </c>
    </row>
    <row r="34">
      <c r="B34" s="13" t="inlineStr">
        <is>
          <t>Trésorerie dégagée</t>
        </is>
      </c>
      <c r="C34" s="15">
        <f>IFERROR(INDEX($M$8:$M$17,MATCH($C$22,$B$8:$B$17,0)),0)</f>
        <v>22000</v>
      </c>
      <c r="D34" s="16">
        <f>IFERROR(C34/$C$25,0)</f>
        <v>0.091666667</v>
      </c>
    </row>
    <row r="35">
      <c r="B35" s="23" t="inlineStr">
        <is>
          <t>Trésorerie dégagée budgétée</t>
        </is>
      </c>
      <c r="C35" s="19">
        <f>IFERROR(INDEX($N$8:$N$17,MATCH($C$22,$B$8:$B$17,0)),0)</f>
        <v>64400</v>
      </c>
      <c r="D35" s="21">
        <f>IFERROR(C35/$C$25,0)</f>
        <v>0.268333333</v>
      </c>
    </row>
    <row r="36">
      <c r="B36" s="13" t="inlineStr">
        <is>
          <t>Écart au budget</t>
        </is>
      </c>
      <c r="C36" s="15">
        <f>IFERROR(INDEX($O$8:$O$17,MATCH($C$22,$B$8:$B$17,0)),0)</f>
        <v>-42400</v>
      </c>
      <c r="D36" s="16">
        <f>IFERROR(C36/$C$25,0)</f>
        <v>-0.176666667</v>
      </c>
    </row>
    <row r="38">
      <c r="B38" s="17" t="inlineStr">
        <is>
          <t>Lecture : la trésorerie dégagée est ce que l'immeuble laisse sur le compte après toutes ses dépenses et ses emprunts. Un écart au budget négatif se lit poste par poste dans le tableau du haut.</t>
        </is>
      </c>
    </row>
    <row r="39">
      <c r="B39" s="17" t="inlineStr">
        <is>
          <t>Le classement range les immeubles de la plus forte à la plus faible trésorerie dégagée : vous voyez quel immeuble finance les autres.</t>
        </is>
      </c>
    </row>
    <row r="41">
      <c r="B41" s="6"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mergeCells count="1">
    <mergeCell ref="C22:F22"/>
  </mergeCells>
  <conditionalFormatting sqref="Q8:Q17">
    <cfRule type="expression" priority="1" dxfId="0">
      <formula>AND(Q8&lt;&gt;"",Q8=1)</formula>
    </cfRule>
  </conditionalFormatting>
  <conditionalFormatting sqref="O8:O17">
    <cfRule type="expression" priority="2" dxfId="1">
      <formula>AND(O8&lt;&gt;"",O8&lt;0)</formula>
    </cfRule>
  </conditionalFormatting>
  <dataValidations count="1">
    <dataValidation sqref="C22" showDropDown="0" showInputMessage="0" showErrorMessage="0" allowBlank="0" type="list">
      <formula1>='Saisie par immeuble'!$B$8:$B$17</formula1>
    </dataValidation>
  </dataValidations>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xl/worksheets/sheet4.xml><?xml version="1.0" encoding="utf-8"?>
<worksheet xmlns="http://schemas.openxmlformats.org/spreadsheetml/2006/main">
  <sheetPr>
    <tabColor rgb="003F6491"/>
    <outlinePr summaryBelow="1" summaryRight="1"/>
    <pageSetUpPr fitToPage="1"/>
  </sheetPr>
  <dimension ref="B2:G112"/>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36" customWidth="1" min="3" max="3"/>
    <col width="28" customWidth="1" min="4" max="4"/>
    <col width="15" customWidth="1" min="5" max="5"/>
    <col width="15" customWidth="1" min="6" max="6"/>
    <col width="44" customWidth="1" min="7" max="7"/>
  </cols>
  <sheetData>
    <row r="2">
      <c r="B2" s="1" t="inlineStr">
        <is>
          <t>ÉCHÉANCES DATÉES</t>
        </is>
      </c>
    </row>
    <row r="3">
      <c r="B3" s="2" t="inlineStr">
        <is>
          <t>Encaissements et décaissements à venir, un par ligne (100 lignes). Lignes pré-remplies : exemple fictif, à remplacer.</t>
        </is>
      </c>
    </row>
    <row r="5">
      <c r="B5" s="7" t="inlineStr">
        <is>
          <t>Saisissez la date, l'immeuble, la nature et le montant (toujours positif). Le sens est déduit de la nature. La trésorerie 13 semaines reprend ces lignes.</t>
        </is>
      </c>
    </row>
    <row r="7" ht="30" customHeight="1">
      <c r="B7" s="8" t="inlineStr">
        <is>
          <t>Date</t>
        </is>
      </c>
      <c r="C7" s="8" t="inlineStr">
        <is>
          <t>Immeuble ou site</t>
        </is>
      </c>
      <c r="D7" s="8" t="inlineStr">
        <is>
          <t>Nature</t>
        </is>
      </c>
      <c r="E7" s="8" t="inlineStr">
        <is>
          <t>Sens</t>
        </is>
      </c>
      <c r="F7" s="8" t="inlineStr">
        <is>
          <t>Montant (€)</t>
        </is>
      </c>
      <c r="G7" s="8" t="inlineStr">
        <is>
          <t>Commentaire</t>
        </is>
      </c>
    </row>
    <row r="8">
      <c r="B8" s="28" t="n">
        <v>46336</v>
      </c>
      <c r="C8" s="9" t="inlineStr">
        <is>
          <t>Immeuble A – logements (exemple fictif)</t>
        </is>
      </c>
      <c r="D8" s="9" t="inlineStr">
        <is>
          <t>Loyers et charges encaissés</t>
        </is>
      </c>
      <c r="E8" s="18" t="str">
        <f>IF(D8="","",IFERROR(INDEX(Listes!$B$2:$B$10,MATCH(D8,Listes!$A$2:$A$10,0)),"Nature inconnue"))</f>
        <v>Encaissement</v>
      </c>
      <c r="F8" s="11" t="n">
        <v>18100</v>
      </c>
      <c r="G8" s="9" t="inlineStr">
        <is>
          <t>Encaissements de novembre restant à percevoir</t>
        </is>
      </c>
    </row>
    <row r="9">
      <c r="B9" s="28" t="n">
        <v>46336</v>
      </c>
      <c r="C9" s="9" t="inlineStr">
        <is>
          <t>Résidence C – logements (exemple fictif)</t>
        </is>
      </c>
      <c r="D9" s="9" t="inlineStr">
        <is>
          <t>Loyers et charges encaissés</t>
        </is>
      </c>
      <c r="E9" s="18" t="str">
        <f>IF(D9="","",IFERROR(INDEX(Listes!$B$2:$B$10,MATCH(D9,Listes!$A$2:$A$10,0)),"Nature inconnue"))</f>
        <v>Encaissement</v>
      </c>
      <c r="F9" s="11" t="n">
        <v>25900</v>
      </c>
      <c r="G9" s="9" t="inlineStr">
        <is>
          <t>Encaissements de novembre restant à percevoir</t>
        </is>
      </c>
    </row>
    <row r="10">
      <c r="B10" s="28" t="n">
        <v>46336</v>
      </c>
      <c r="C10" s="9" t="inlineStr">
        <is>
          <t>Immeuble A – logements (exemple fictif)</t>
        </is>
      </c>
      <c r="D10" s="9" t="inlineStr">
        <is>
          <t>Échéance d'emprunt</t>
        </is>
      </c>
      <c r="E10" s="18" t="str">
        <f>IF(D10="","",IFERROR(INDEX(Listes!$B$2:$B$10,MATCH(D10,Listes!$A$2:$A$10,0)),"Nature inconnue"))</f>
        <v>Décaissement</v>
      </c>
      <c r="F10" s="11" t="n">
        <v>5830</v>
      </c>
      <c r="G10" s="9" t="inlineStr">
        <is>
          <t>Mensualité</t>
        </is>
      </c>
    </row>
    <row r="11">
      <c r="B11" s="28" t="n">
        <v>46336</v>
      </c>
      <c r="C11" s="9" t="inlineStr">
        <is>
          <t>Immeuble B – bureaux (exemple fictif)</t>
        </is>
      </c>
      <c r="D11" s="9" t="inlineStr">
        <is>
          <t>Échéance d'emprunt</t>
        </is>
      </c>
      <c r="E11" s="18" t="str">
        <f>IF(D11="","",IFERROR(INDEX(Listes!$B$2:$B$10,MATCH(D11,Listes!$A$2:$A$10,0)),"Nature inconnue"))</f>
        <v>Décaissement</v>
      </c>
      <c r="F11" s="11" t="n">
        <v>4000</v>
      </c>
      <c r="G11" s="9" t="inlineStr">
        <is>
          <t>Mensualité</t>
        </is>
      </c>
    </row>
    <row r="12">
      <c r="B12" s="28" t="n">
        <v>46336</v>
      </c>
      <c r="C12" s="9" t="inlineStr">
        <is>
          <t>Résidence C – logements (exemple fictif)</t>
        </is>
      </c>
      <c r="D12" s="9" t="inlineStr">
        <is>
          <t>Échéance d'emprunt</t>
        </is>
      </c>
      <c r="E12" s="18" t="str">
        <f>IF(D12="","",IFERROR(INDEX(Listes!$B$2:$B$10,MATCH(D12,Listes!$A$2:$A$10,0)),"Nature inconnue"))</f>
        <v>Décaissement</v>
      </c>
      <c r="F12" s="11" t="n">
        <v>8000</v>
      </c>
      <c r="G12" s="9" t="inlineStr">
        <is>
          <t>Mensualité</t>
        </is>
      </c>
    </row>
    <row r="13">
      <c r="B13" s="28" t="n">
        <v>46341</v>
      </c>
      <c r="C13" s="9" t="inlineStr">
        <is>
          <t>Immeuble A – logements (exemple fictif)</t>
        </is>
      </c>
      <c r="D13" s="9" t="inlineStr">
        <is>
          <t>Charges courantes</t>
        </is>
      </c>
      <c r="E13" s="18" t="str">
        <f>IF(D13="","",IFERROR(INDEX(Listes!$B$2:$B$10,MATCH(D13,Listes!$A$2:$A$10,0)),"Nature inconnue"))</f>
        <v>Décaissement</v>
      </c>
      <c r="F13" s="11" t="n">
        <v>6200</v>
      </c>
      <c r="G13" s="9" t="inlineStr">
        <is>
          <t>Eau, énergie, ménage, gestion</t>
        </is>
      </c>
    </row>
    <row r="14">
      <c r="B14" s="28" t="n">
        <v>46341</v>
      </c>
      <c r="C14" s="9" t="inlineStr">
        <is>
          <t>Immeuble B – bureaux (exemple fictif)</t>
        </is>
      </c>
      <c r="D14" s="9" t="inlineStr">
        <is>
          <t>Charges courantes</t>
        </is>
      </c>
      <c r="E14" s="18" t="str">
        <f>IF(D14="","",IFERROR(INDEX(Listes!$B$2:$B$10,MATCH(D14,Listes!$A$2:$A$10,0)),"Nature inconnue"))</f>
        <v>Décaissement</v>
      </c>
      <c r="F14" s="11" t="n">
        <v>2800</v>
      </c>
      <c r="G14" s="9" t="inlineStr">
        <is>
          <t>Eau, énergie, ménage, gestion</t>
        </is>
      </c>
    </row>
    <row r="15">
      <c r="B15" s="28" t="n">
        <v>46341</v>
      </c>
      <c r="C15" s="9" t="inlineStr">
        <is>
          <t>Résidence C – logements (exemple fictif)</t>
        </is>
      </c>
      <c r="D15" s="9" t="inlineStr">
        <is>
          <t>Charges courantes</t>
        </is>
      </c>
      <c r="E15" s="18" t="str">
        <f>IF(D15="","",IFERROR(INDEX(Listes!$B$2:$B$10,MATCH(D15,Listes!$A$2:$A$10,0)),"Nature inconnue"))</f>
        <v>Décaissement</v>
      </c>
      <c r="F15" s="11" t="n">
        <v>8500</v>
      </c>
      <c r="G15" s="9" t="inlineStr">
        <is>
          <t>Eau, énergie, ménage, gestion</t>
        </is>
      </c>
    </row>
    <row r="16">
      <c r="B16" s="28" t="n">
        <v>46361</v>
      </c>
      <c r="C16" s="9" t="inlineStr">
        <is>
          <t>Immeuble A – logements (exemple fictif)</t>
        </is>
      </c>
      <c r="D16" s="9" t="inlineStr">
        <is>
          <t>Loyers et charges encaissés</t>
        </is>
      </c>
      <c r="E16" s="18" t="str">
        <f>IF(D16="","",IFERROR(INDEX(Listes!$B$2:$B$10,MATCH(D16,Listes!$A$2:$A$10,0)),"Nature inconnue"))</f>
        <v>Encaissement</v>
      </c>
      <c r="F16" s="11" t="n">
        <v>18100</v>
      </c>
      <c r="G16" s="9" t="inlineStr">
        <is>
          <t>Encaissement mensuel moyen</t>
        </is>
      </c>
    </row>
    <row r="17">
      <c r="B17" s="28" t="n">
        <v>46361</v>
      </c>
      <c r="C17" s="9" t="inlineStr">
        <is>
          <t>Résidence C – logements (exemple fictif)</t>
        </is>
      </c>
      <c r="D17" s="9" t="inlineStr">
        <is>
          <t>Loyers et charges encaissés</t>
        </is>
      </c>
      <c r="E17" s="18" t="str">
        <f>IF(D17="","",IFERROR(INDEX(Listes!$B$2:$B$10,MATCH(D17,Listes!$A$2:$A$10,0)),"Nature inconnue"))</f>
        <v>Encaissement</v>
      </c>
      <c r="F17" s="11" t="n">
        <v>25900</v>
      </c>
      <c r="G17" s="9" t="inlineStr">
        <is>
          <t>Encaissement mensuel moyen</t>
        </is>
      </c>
    </row>
    <row r="18">
      <c r="B18" s="28" t="n">
        <v>46366</v>
      </c>
      <c r="C18" s="9" t="inlineStr">
        <is>
          <t>Immeuble A – logements (exemple fictif)</t>
        </is>
      </c>
      <c r="D18" s="9" t="inlineStr">
        <is>
          <t>Échéance d'emprunt</t>
        </is>
      </c>
      <c r="E18" s="18" t="str">
        <f>IF(D18="","",IFERROR(INDEX(Listes!$B$2:$B$10,MATCH(D18,Listes!$A$2:$A$10,0)),"Nature inconnue"))</f>
        <v>Décaissement</v>
      </c>
      <c r="F18" s="11" t="n">
        <v>5830</v>
      </c>
      <c r="G18" s="9" t="inlineStr">
        <is>
          <t>Mensualité</t>
        </is>
      </c>
    </row>
    <row r="19">
      <c r="B19" s="28" t="n">
        <v>46366</v>
      </c>
      <c r="C19" s="9" t="inlineStr">
        <is>
          <t>Immeuble B – bureaux (exemple fictif)</t>
        </is>
      </c>
      <c r="D19" s="9" t="inlineStr">
        <is>
          <t>Échéance d'emprunt</t>
        </is>
      </c>
      <c r="E19" s="18" t="str">
        <f>IF(D19="","",IFERROR(INDEX(Listes!$B$2:$B$10,MATCH(D19,Listes!$A$2:$A$10,0)),"Nature inconnue"))</f>
        <v>Décaissement</v>
      </c>
      <c r="F19" s="11" t="n">
        <v>4000</v>
      </c>
      <c r="G19" s="9" t="inlineStr">
        <is>
          <t>Mensualité</t>
        </is>
      </c>
    </row>
    <row r="20">
      <c r="B20" s="28" t="n">
        <v>46366</v>
      </c>
      <c r="C20" s="9" t="inlineStr">
        <is>
          <t>Résidence C – logements (exemple fictif)</t>
        </is>
      </c>
      <c r="D20" s="9" t="inlineStr">
        <is>
          <t>Échéance d'emprunt</t>
        </is>
      </c>
      <c r="E20" s="18" t="str">
        <f>IF(D20="","",IFERROR(INDEX(Listes!$B$2:$B$10,MATCH(D20,Listes!$A$2:$A$10,0)),"Nature inconnue"))</f>
        <v>Décaissement</v>
      </c>
      <c r="F20" s="11" t="n">
        <v>8000</v>
      </c>
      <c r="G20" s="9" t="inlineStr">
        <is>
          <t>Mensualité</t>
        </is>
      </c>
    </row>
    <row r="21">
      <c r="B21" s="28" t="n">
        <v>46371</v>
      </c>
      <c r="C21" s="9" t="inlineStr">
        <is>
          <t>Immeuble A – logements (exemple fictif)</t>
        </is>
      </c>
      <c r="D21" s="9" t="inlineStr">
        <is>
          <t>Charges courantes</t>
        </is>
      </c>
      <c r="E21" s="18" t="str">
        <f>IF(D21="","",IFERROR(INDEX(Listes!$B$2:$B$10,MATCH(D21,Listes!$A$2:$A$10,0)),"Nature inconnue"))</f>
        <v>Décaissement</v>
      </c>
      <c r="F21" s="11" t="n">
        <v>6200</v>
      </c>
      <c r="G21" s="9" t="inlineStr">
        <is>
          <t>Eau, énergie, ménage, gestion</t>
        </is>
      </c>
    </row>
    <row r="22">
      <c r="B22" s="28" t="n">
        <v>46371</v>
      </c>
      <c r="C22" s="9" t="inlineStr">
        <is>
          <t>Immeuble B – bureaux (exemple fictif)</t>
        </is>
      </c>
      <c r="D22" s="9" t="inlineStr">
        <is>
          <t>Charges courantes</t>
        </is>
      </c>
      <c r="E22" s="18" t="str">
        <f>IF(D22="","",IFERROR(INDEX(Listes!$B$2:$B$10,MATCH(D22,Listes!$A$2:$A$10,0)),"Nature inconnue"))</f>
        <v>Décaissement</v>
      </c>
      <c r="F22" s="11" t="n">
        <v>2800</v>
      </c>
      <c r="G22" s="9" t="inlineStr">
        <is>
          <t>Eau, énergie, ménage, gestion</t>
        </is>
      </c>
    </row>
    <row r="23">
      <c r="B23" s="28" t="n">
        <v>46371</v>
      </c>
      <c r="C23" s="9" t="inlineStr">
        <is>
          <t>Résidence C – logements (exemple fictif)</t>
        </is>
      </c>
      <c r="D23" s="9" t="inlineStr">
        <is>
          <t>Charges courantes</t>
        </is>
      </c>
      <c r="E23" s="18" t="str">
        <f>IF(D23="","",IFERROR(INDEX(Listes!$B$2:$B$10,MATCH(D23,Listes!$A$2:$A$10,0)),"Nature inconnue"))</f>
        <v>Décaissement</v>
      </c>
      <c r="F23" s="11" t="n">
        <v>8500</v>
      </c>
      <c r="G23" s="9" t="inlineStr">
        <is>
          <t>Eau, énergie, ménage, gestion</t>
        </is>
      </c>
    </row>
    <row r="24">
      <c r="B24" s="28" t="n">
        <v>46374</v>
      </c>
      <c r="C24" s="9" t="inlineStr">
        <is>
          <t>Immeuble A – logements (exemple fictif)</t>
        </is>
      </c>
      <c r="D24" s="9" t="inlineStr">
        <is>
          <t>Travaux et entretien</t>
        </is>
      </c>
      <c r="E24" s="18" t="str">
        <f>IF(D24="","",IFERROR(INDEX(Listes!$B$2:$B$10,MATCH(D24,Listes!$A$2:$A$10,0)),"Nature inconnue"))</f>
        <v>Décaissement</v>
      </c>
      <c r="F24" s="11" t="n">
        <v>18000</v>
      </c>
      <c r="G24" s="9" t="inlineStr">
        <is>
          <t>Remplacement de chaudière, non prévu</t>
        </is>
      </c>
    </row>
    <row r="25">
      <c r="B25" s="28" t="n">
        <v>46392</v>
      </c>
      <c r="C25" s="9" t="inlineStr">
        <is>
          <t>Immeuble A – logements (exemple fictif)</t>
        </is>
      </c>
      <c r="D25" s="9" t="inlineStr">
        <is>
          <t>Loyers et charges encaissés</t>
        </is>
      </c>
      <c r="E25" s="18" t="str">
        <f>IF(D25="","",IFERROR(INDEX(Listes!$B$2:$B$10,MATCH(D25,Listes!$A$2:$A$10,0)),"Nature inconnue"))</f>
        <v>Encaissement</v>
      </c>
      <c r="F25" s="11" t="n">
        <v>18100</v>
      </c>
      <c r="G25" s="9" t="inlineStr">
        <is>
          <t>Encaissement mensuel moyen</t>
        </is>
      </c>
    </row>
    <row r="26">
      <c r="B26" s="28" t="n">
        <v>46392</v>
      </c>
      <c r="C26" s="9" t="inlineStr">
        <is>
          <t>Résidence C – logements (exemple fictif)</t>
        </is>
      </c>
      <c r="D26" s="9" t="inlineStr">
        <is>
          <t>Loyers et charges encaissés</t>
        </is>
      </c>
      <c r="E26" s="18" t="str">
        <f>IF(D26="","",IFERROR(INDEX(Listes!$B$2:$B$10,MATCH(D26,Listes!$A$2:$A$10,0)),"Nature inconnue"))</f>
        <v>Encaissement</v>
      </c>
      <c r="F26" s="11" t="n">
        <v>25900</v>
      </c>
      <c r="G26" s="9" t="inlineStr">
        <is>
          <t>Encaissement mensuel moyen</t>
        </is>
      </c>
    </row>
    <row r="27">
      <c r="B27" s="28" t="n">
        <v>46392</v>
      </c>
      <c r="C27" s="9" t="inlineStr">
        <is>
          <t>Immeuble B – bureaux (exemple fictif)</t>
        </is>
      </c>
      <c r="D27" s="9" t="inlineStr">
        <is>
          <t>Loyers et charges encaissés</t>
        </is>
      </c>
      <c r="E27" s="18" t="str">
        <f>IF(D27="","",IFERROR(INDEX(Listes!$B$2:$B$10,MATCH(D27,Listes!$A$2:$A$10,0)),"Nature inconnue"))</f>
        <v>Encaissement</v>
      </c>
      <c r="F27" s="11" t="n">
        <v>33750</v>
      </c>
      <c r="G27" s="9" t="inlineStr">
        <is>
          <t>Terme trimestriel des bureaux</t>
        </is>
      </c>
    </row>
    <row r="28">
      <c r="B28" s="28" t="n">
        <v>46395</v>
      </c>
      <c r="C28" s="9" t="inlineStr">
        <is>
          <t>Immeuble A – logements (exemple fictif)</t>
        </is>
      </c>
      <c r="D28" s="9" t="inlineStr">
        <is>
          <t>Autre décaissement</t>
        </is>
      </c>
      <c r="E28" s="18" t="str">
        <f>IF(D28="","",IFERROR(INDEX(Listes!$B$2:$B$10,MATCH(D28,Listes!$A$2:$A$10,0)),"Nature inconnue"))</f>
        <v>Décaissement</v>
      </c>
      <c r="F28" s="11" t="n">
        <v>4200</v>
      </c>
      <c r="G28" s="9" t="inlineStr">
        <is>
          <t>Assurance de l'immeuble, échéance annuelle</t>
        </is>
      </c>
    </row>
    <row r="29">
      <c r="B29" s="28" t="n">
        <v>46395</v>
      </c>
      <c r="C29" s="9" t="inlineStr">
        <is>
          <t>Résidence C – logements (exemple fictif)</t>
        </is>
      </c>
      <c r="D29" s="9" t="inlineStr">
        <is>
          <t>Autre décaissement</t>
        </is>
      </c>
      <c r="E29" s="18" t="str">
        <f>IF(D29="","",IFERROR(INDEX(Listes!$B$2:$B$10,MATCH(D29,Listes!$A$2:$A$10,0)),"Nature inconnue"))</f>
        <v>Décaissement</v>
      </c>
      <c r="F29" s="11" t="n">
        <v>6500</v>
      </c>
      <c r="G29" s="9" t="inlineStr">
        <is>
          <t>Assurance de l'immeuble, échéance annuelle</t>
        </is>
      </c>
    </row>
    <row r="30">
      <c r="B30" s="28" t="n">
        <v>46397</v>
      </c>
      <c r="C30" s="9" t="inlineStr">
        <is>
          <t>Immeuble A – logements (exemple fictif)</t>
        </is>
      </c>
      <c r="D30" s="9" t="inlineStr">
        <is>
          <t>Échéance d'emprunt</t>
        </is>
      </c>
      <c r="E30" s="18" t="str">
        <f>IF(D30="","",IFERROR(INDEX(Listes!$B$2:$B$10,MATCH(D30,Listes!$A$2:$A$10,0)),"Nature inconnue"))</f>
        <v>Décaissement</v>
      </c>
      <c r="F30" s="11" t="n">
        <v>5830</v>
      </c>
      <c r="G30" s="9" t="inlineStr">
        <is>
          <t>Mensualité</t>
        </is>
      </c>
    </row>
    <row r="31">
      <c r="B31" s="28" t="n">
        <v>46397</v>
      </c>
      <c r="C31" s="9" t="inlineStr">
        <is>
          <t>Immeuble B – bureaux (exemple fictif)</t>
        </is>
      </c>
      <c r="D31" s="9" t="inlineStr">
        <is>
          <t>Échéance d'emprunt</t>
        </is>
      </c>
      <c r="E31" s="18" t="str">
        <f>IF(D31="","",IFERROR(INDEX(Listes!$B$2:$B$10,MATCH(D31,Listes!$A$2:$A$10,0)),"Nature inconnue"))</f>
        <v>Décaissement</v>
      </c>
      <c r="F31" s="11" t="n">
        <v>4000</v>
      </c>
      <c r="G31" s="9" t="inlineStr">
        <is>
          <t>Mensualité</t>
        </is>
      </c>
    </row>
    <row r="32">
      <c r="B32" s="28" t="n">
        <v>46397</v>
      </c>
      <c r="C32" s="9" t="inlineStr">
        <is>
          <t>Résidence C – logements (exemple fictif)</t>
        </is>
      </c>
      <c r="D32" s="9" t="inlineStr">
        <is>
          <t>Échéance d'emprunt</t>
        </is>
      </c>
      <c r="E32" s="18" t="str">
        <f>IF(D32="","",IFERROR(INDEX(Listes!$B$2:$B$10,MATCH(D32,Listes!$A$2:$A$10,0)),"Nature inconnue"))</f>
        <v>Décaissement</v>
      </c>
      <c r="F32" s="11" t="n">
        <v>8000</v>
      </c>
      <c r="G32" s="9" t="inlineStr">
        <is>
          <t>Mensualité</t>
        </is>
      </c>
    </row>
    <row r="33">
      <c r="B33" s="28" t="n">
        <v>46402</v>
      </c>
      <c r="C33" s="9" t="inlineStr">
        <is>
          <t>Immeuble A – logements (exemple fictif)</t>
        </is>
      </c>
      <c r="D33" s="9" t="inlineStr">
        <is>
          <t>Charges courantes</t>
        </is>
      </c>
      <c r="E33" s="18" t="str">
        <f>IF(D33="","",IFERROR(INDEX(Listes!$B$2:$B$10,MATCH(D33,Listes!$A$2:$A$10,0)),"Nature inconnue"))</f>
        <v>Décaissement</v>
      </c>
      <c r="F33" s="11" t="n">
        <v>6200</v>
      </c>
      <c r="G33" s="9" t="inlineStr">
        <is>
          <t>Eau, énergie, ménage, gestion</t>
        </is>
      </c>
    </row>
    <row r="34">
      <c r="B34" s="28" t="n">
        <v>46402</v>
      </c>
      <c r="C34" s="9" t="inlineStr">
        <is>
          <t>Immeuble B – bureaux (exemple fictif)</t>
        </is>
      </c>
      <c r="D34" s="9" t="inlineStr">
        <is>
          <t>Charges courantes</t>
        </is>
      </c>
      <c r="E34" s="18" t="str">
        <f>IF(D34="","",IFERROR(INDEX(Listes!$B$2:$B$10,MATCH(D34,Listes!$A$2:$A$10,0)),"Nature inconnue"))</f>
        <v>Décaissement</v>
      </c>
      <c r="F34" s="11" t="n">
        <v>2800</v>
      </c>
      <c r="G34" s="9" t="inlineStr">
        <is>
          <t>Eau, énergie, ménage, gestion</t>
        </is>
      </c>
    </row>
    <row r="35">
      <c r="B35" s="28" t="n">
        <v>46402</v>
      </c>
      <c r="C35" s="9" t="inlineStr">
        <is>
          <t>Résidence C – logements (exemple fictif)</t>
        </is>
      </c>
      <c r="D35" s="9" t="inlineStr">
        <is>
          <t>Charges courantes</t>
        </is>
      </c>
      <c r="E35" s="18" t="str">
        <f>IF(D35="","",IFERROR(INDEX(Listes!$B$2:$B$10,MATCH(D35,Listes!$A$2:$A$10,0)),"Nature inconnue"))</f>
        <v>Décaissement</v>
      </c>
      <c r="F35" s="11" t="n">
        <v>8500</v>
      </c>
      <c r="G35" s="9" t="inlineStr">
        <is>
          <t>Eau, énergie, ménage, gestion</t>
        </is>
      </c>
    </row>
    <row r="36">
      <c r="B36" s="28" t="n">
        <v>46416</v>
      </c>
      <c r="C36" s="9" t="inlineStr">
        <is>
          <t>Immeuble A – logements (exemple fictif)</t>
        </is>
      </c>
      <c r="D36" s="9" t="inlineStr">
        <is>
          <t>Régularisation de charges</t>
        </is>
      </c>
      <c r="E36" s="18" t="str">
        <f>IF(D36="","",IFERROR(INDEX(Listes!$B$2:$B$10,MATCH(D36,Listes!$A$2:$A$10,0)),"Nature inconnue"))</f>
        <v>Encaissement</v>
      </c>
      <c r="F36" s="11" t="n">
        <v>3500</v>
      </c>
      <c r="G36" s="9" t="inlineStr">
        <is>
          <t>Régularisation annuelle : complément appelé</t>
        </is>
      </c>
    </row>
    <row r="37">
      <c r="B37" s="28" t="n">
        <v>46419</v>
      </c>
      <c r="C37" s="9" t="inlineStr">
        <is>
          <t>Résidence C – logements (exemple fictif)</t>
        </is>
      </c>
      <c r="D37" s="9" t="inlineStr">
        <is>
          <t>Travaux et entretien</t>
        </is>
      </c>
      <c r="E37" s="18" t="str">
        <f>IF(D37="","",IFERROR(INDEX(Listes!$B$2:$B$10,MATCH(D37,Listes!$A$2:$A$10,0)),"Nature inconnue"))</f>
        <v>Décaissement</v>
      </c>
      <c r="F37" s="11" t="n">
        <v>9000</v>
      </c>
      <c r="G37" s="9" t="inlineStr">
        <is>
          <t>Ravalement partiel, prévu au budget</t>
        </is>
      </c>
    </row>
    <row r="38">
      <c r="B38" s="28" t="n">
        <v>46423</v>
      </c>
      <c r="C38" s="9" t="inlineStr">
        <is>
          <t>Immeuble A – logements (exemple fictif)</t>
        </is>
      </c>
      <c r="D38" s="9" t="inlineStr">
        <is>
          <t>Loyers et charges encaissés</t>
        </is>
      </c>
      <c r="E38" s="18" t="str">
        <f>IF(D38="","",IFERROR(INDEX(Listes!$B$2:$B$10,MATCH(D38,Listes!$A$2:$A$10,0)),"Nature inconnue"))</f>
        <v>Encaissement</v>
      </c>
      <c r="F38" s="11" t="n">
        <v>18100</v>
      </c>
      <c r="G38" s="9" t="inlineStr">
        <is>
          <t>Encaissement mensuel moyen</t>
        </is>
      </c>
    </row>
    <row r="39">
      <c r="B39" s="28" t="n">
        <v>46423</v>
      </c>
      <c r="C39" s="9" t="inlineStr">
        <is>
          <t>Résidence C – logements (exemple fictif)</t>
        </is>
      </c>
      <c r="D39" s="9" t="inlineStr">
        <is>
          <t>Loyers et charges encaissés</t>
        </is>
      </c>
      <c r="E39" s="18" t="str">
        <f>IF(D39="","",IFERROR(INDEX(Listes!$B$2:$B$10,MATCH(D39,Listes!$A$2:$A$10,0)),"Nature inconnue"))</f>
        <v>Encaissement</v>
      </c>
      <c r="F39" s="11" t="n">
        <v>25900</v>
      </c>
      <c r="G39" s="9" t="inlineStr">
        <is>
          <t>Encaissement mensuel moyen</t>
        </is>
      </c>
    </row>
    <row r="40">
      <c r="B40" s="28" t="n"/>
      <c r="C40" s="9" t="n"/>
      <c r="D40" s="9" t="n"/>
      <c r="E40" s="18" t="str">
        <f>IF(D40="","",IFERROR(INDEX(Listes!$B$2:$B$10,MATCH(D40,Listes!$A$2:$A$10,0)),"Nature inconnue"))</f>
        <v/>
      </c>
      <c r="F40" s="11" t="n"/>
      <c r="G40" s="9" t="n"/>
    </row>
    <row r="41">
      <c r="B41" s="28" t="n"/>
      <c r="C41" s="9" t="n"/>
      <c r="D41" s="9" t="n"/>
      <c r="E41" s="18" t="str">
        <f>IF(D41="","",IFERROR(INDEX(Listes!$B$2:$B$10,MATCH(D41,Listes!$A$2:$A$10,0)),"Nature inconnue"))</f>
        <v/>
      </c>
      <c r="F41" s="11" t="n"/>
      <c r="G41" s="9" t="n"/>
    </row>
    <row r="42">
      <c r="B42" s="28" t="n"/>
      <c r="C42" s="9" t="n"/>
      <c r="D42" s="9" t="n"/>
      <c r="E42" s="18" t="str">
        <f>IF(D42="","",IFERROR(INDEX(Listes!$B$2:$B$10,MATCH(D42,Listes!$A$2:$A$10,0)),"Nature inconnue"))</f>
        <v/>
      </c>
      <c r="F42" s="11" t="n"/>
      <c r="G42" s="9" t="n"/>
    </row>
    <row r="43">
      <c r="B43" s="28" t="n"/>
      <c r="C43" s="9" t="n"/>
      <c r="D43" s="9" t="n"/>
      <c r="E43" s="18" t="str">
        <f>IF(D43="","",IFERROR(INDEX(Listes!$B$2:$B$10,MATCH(D43,Listes!$A$2:$A$10,0)),"Nature inconnue"))</f>
        <v/>
      </c>
      <c r="F43" s="11" t="n"/>
      <c r="G43" s="9" t="n"/>
    </row>
    <row r="44">
      <c r="B44" s="28" t="n"/>
      <c r="C44" s="9" t="n"/>
      <c r="D44" s="9" t="n"/>
      <c r="E44" s="18" t="str">
        <f>IF(D44="","",IFERROR(INDEX(Listes!$B$2:$B$10,MATCH(D44,Listes!$A$2:$A$10,0)),"Nature inconnue"))</f>
        <v/>
      </c>
      <c r="F44" s="11" t="n"/>
      <c r="G44" s="9" t="n"/>
    </row>
    <row r="45">
      <c r="B45" s="28" t="n"/>
      <c r="C45" s="9" t="n"/>
      <c r="D45" s="9" t="n"/>
      <c r="E45" s="18" t="str">
        <f>IF(D45="","",IFERROR(INDEX(Listes!$B$2:$B$10,MATCH(D45,Listes!$A$2:$A$10,0)),"Nature inconnue"))</f>
        <v/>
      </c>
      <c r="F45" s="11" t="n"/>
      <c r="G45" s="9" t="n"/>
    </row>
    <row r="46">
      <c r="B46" s="28" t="n"/>
      <c r="C46" s="9" t="n"/>
      <c r="D46" s="9" t="n"/>
      <c r="E46" s="18" t="str">
        <f>IF(D46="","",IFERROR(INDEX(Listes!$B$2:$B$10,MATCH(D46,Listes!$A$2:$A$10,0)),"Nature inconnue"))</f>
        <v/>
      </c>
      <c r="F46" s="11" t="n"/>
      <c r="G46" s="9" t="n"/>
    </row>
    <row r="47">
      <c r="B47" s="28" t="n"/>
      <c r="C47" s="9" t="n"/>
      <c r="D47" s="9" t="n"/>
      <c r="E47" s="18" t="str">
        <f>IF(D47="","",IFERROR(INDEX(Listes!$B$2:$B$10,MATCH(D47,Listes!$A$2:$A$10,0)),"Nature inconnue"))</f>
        <v/>
      </c>
      <c r="F47" s="11" t="n"/>
      <c r="G47" s="9" t="n"/>
    </row>
    <row r="48">
      <c r="B48" s="28" t="n"/>
      <c r="C48" s="9" t="n"/>
      <c r="D48" s="9" t="n"/>
      <c r="E48" s="18" t="str">
        <f>IF(D48="","",IFERROR(INDEX(Listes!$B$2:$B$10,MATCH(D48,Listes!$A$2:$A$10,0)),"Nature inconnue"))</f>
        <v/>
      </c>
      <c r="F48" s="11" t="n"/>
      <c r="G48" s="9" t="n"/>
    </row>
    <row r="49">
      <c r="B49" s="28" t="n"/>
      <c r="C49" s="9" t="n"/>
      <c r="D49" s="9" t="n"/>
      <c r="E49" s="18" t="str">
        <f>IF(D49="","",IFERROR(INDEX(Listes!$B$2:$B$10,MATCH(D49,Listes!$A$2:$A$10,0)),"Nature inconnue"))</f>
        <v/>
      </c>
      <c r="F49" s="11" t="n"/>
      <c r="G49" s="9" t="n"/>
    </row>
    <row r="50">
      <c r="B50" s="28" t="n"/>
      <c r="C50" s="9" t="n"/>
      <c r="D50" s="9" t="n"/>
      <c r="E50" s="18" t="str">
        <f>IF(D50="","",IFERROR(INDEX(Listes!$B$2:$B$10,MATCH(D50,Listes!$A$2:$A$10,0)),"Nature inconnue"))</f>
        <v/>
      </c>
      <c r="F50" s="11" t="n"/>
      <c r="G50" s="9" t="n"/>
    </row>
    <row r="51">
      <c r="B51" s="28" t="n"/>
      <c r="C51" s="9" t="n"/>
      <c r="D51" s="9" t="n"/>
      <c r="E51" s="18" t="str">
        <f>IF(D51="","",IFERROR(INDEX(Listes!$B$2:$B$10,MATCH(D51,Listes!$A$2:$A$10,0)),"Nature inconnue"))</f>
        <v/>
      </c>
      <c r="F51" s="11" t="n"/>
      <c r="G51" s="9" t="n"/>
    </row>
    <row r="52">
      <c r="B52" s="28" t="n"/>
      <c r="C52" s="9" t="n"/>
      <c r="D52" s="9" t="n"/>
      <c r="E52" s="18" t="str">
        <f>IF(D52="","",IFERROR(INDEX(Listes!$B$2:$B$10,MATCH(D52,Listes!$A$2:$A$10,0)),"Nature inconnue"))</f>
        <v/>
      </c>
      <c r="F52" s="11" t="n"/>
      <c r="G52" s="9" t="n"/>
    </row>
    <row r="53">
      <c r="B53" s="28" t="n"/>
      <c r="C53" s="9" t="n"/>
      <c r="D53" s="9" t="n"/>
      <c r="E53" s="18" t="str">
        <f>IF(D53="","",IFERROR(INDEX(Listes!$B$2:$B$10,MATCH(D53,Listes!$A$2:$A$10,0)),"Nature inconnue"))</f>
        <v/>
      </c>
      <c r="F53" s="11" t="n"/>
      <c r="G53" s="9" t="n"/>
    </row>
    <row r="54">
      <c r="B54" s="28" t="n"/>
      <c r="C54" s="9" t="n"/>
      <c r="D54" s="9" t="n"/>
      <c r="E54" s="18" t="str">
        <f>IF(D54="","",IFERROR(INDEX(Listes!$B$2:$B$10,MATCH(D54,Listes!$A$2:$A$10,0)),"Nature inconnue"))</f>
        <v/>
      </c>
      <c r="F54" s="11" t="n"/>
      <c r="G54" s="9" t="n"/>
    </row>
    <row r="55">
      <c r="B55" s="28" t="n"/>
      <c r="C55" s="9" t="n"/>
      <c r="D55" s="9" t="n"/>
      <c r="E55" s="18" t="str">
        <f>IF(D55="","",IFERROR(INDEX(Listes!$B$2:$B$10,MATCH(D55,Listes!$A$2:$A$10,0)),"Nature inconnue"))</f>
        <v/>
      </c>
      <c r="F55" s="11" t="n"/>
      <c r="G55" s="9" t="n"/>
    </row>
    <row r="56">
      <c r="B56" s="28" t="n"/>
      <c r="C56" s="9" t="n"/>
      <c r="D56" s="9" t="n"/>
      <c r="E56" s="18" t="str">
        <f>IF(D56="","",IFERROR(INDEX(Listes!$B$2:$B$10,MATCH(D56,Listes!$A$2:$A$10,0)),"Nature inconnue"))</f>
        <v/>
      </c>
      <c r="F56" s="11" t="n"/>
      <c r="G56" s="9" t="n"/>
    </row>
    <row r="57">
      <c r="B57" s="28" t="n"/>
      <c r="C57" s="9" t="n"/>
      <c r="D57" s="9" t="n"/>
      <c r="E57" s="18" t="str">
        <f>IF(D57="","",IFERROR(INDEX(Listes!$B$2:$B$10,MATCH(D57,Listes!$A$2:$A$10,0)),"Nature inconnue"))</f>
        <v/>
      </c>
      <c r="F57" s="11" t="n"/>
      <c r="G57" s="9" t="n"/>
    </row>
    <row r="58">
      <c r="B58" s="28" t="n"/>
      <c r="C58" s="9" t="n"/>
      <c r="D58" s="9" t="n"/>
      <c r="E58" s="18" t="str">
        <f>IF(D58="","",IFERROR(INDEX(Listes!$B$2:$B$10,MATCH(D58,Listes!$A$2:$A$10,0)),"Nature inconnue"))</f>
        <v/>
      </c>
      <c r="F58" s="11" t="n"/>
      <c r="G58" s="9" t="n"/>
    </row>
    <row r="59">
      <c r="B59" s="28" t="n"/>
      <c r="C59" s="9" t="n"/>
      <c r="D59" s="9" t="n"/>
      <c r="E59" s="18" t="str">
        <f>IF(D59="","",IFERROR(INDEX(Listes!$B$2:$B$10,MATCH(D59,Listes!$A$2:$A$10,0)),"Nature inconnue"))</f>
        <v/>
      </c>
      <c r="F59" s="11" t="n"/>
      <c r="G59" s="9" t="n"/>
    </row>
    <row r="60">
      <c r="B60" s="28" t="n"/>
      <c r="C60" s="9" t="n"/>
      <c r="D60" s="9" t="n"/>
      <c r="E60" s="18" t="str">
        <f>IF(D60="","",IFERROR(INDEX(Listes!$B$2:$B$10,MATCH(D60,Listes!$A$2:$A$10,0)),"Nature inconnue"))</f>
        <v/>
      </c>
      <c r="F60" s="11" t="n"/>
      <c r="G60" s="9" t="n"/>
    </row>
    <row r="61">
      <c r="B61" s="28" t="n"/>
      <c r="C61" s="9" t="n"/>
      <c r="D61" s="9" t="n"/>
      <c r="E61" s="18" t="str">
        <f>IF(D61="","",IFERROR(INDEX(Listes!$B$2:$B$10,MATCH(D61,Listes!$A$2:$A$10,0)),"Nature inconnue"))</f>
        <v/>
      </c>
      <c r="F61" s="11" t="n"/>
      <c r="G61" s="9" t="n"/>
    </row>
    <row r="62">
      <c r="B62" s="28" t="n"/>
      <c r="C62" s="9" t="n"/>
      <c r="D62" s="9" t="n"/>
      <c r="E62" s="18" t="str">
        <f>IF(D62="","",IFERROR(INDEX(Listes!$B$2:$B$10,MATCH(D62,Listes!$A$2:$A$10,0)),"Nature inconnue"))</f>
        <v/>
      </c>
      <c r="F62" s="11" t="n"/>
      <c r="G62" s="9" t="n"/>
    </row>
    <row r="63">
      <c r="B63" s="28" t="n"/>
      <c r="C63" s="9" t="n"/>
      <c r="D63" s="9" t="n"/>
      <c r="E63" s="18" t="str">
        <f>IF(D63="","",IFERROR(INDEX(Listes!$B$2:$B$10,MATCH(D63,Listes!$A$2:$A$10,0)),"Nature inconnue"))</f>
        <v/>
      </c>
      <c r="F63" s="11" t="n"/>
      <c r="G63" s="9" t="n"/>
    </row>
    <row r="64">
      <c r="B64" s="28" t="n"/>
      <c r="C64" s="9" t="n"/>
      <c r="D64" s="9" t="n"/>
      <c r="E64" s="18" t="str">
        <f>IF(D64="","",IFERROR(INDEX(Listes!$B$2:$B$10,MATCH(D64,Listes!$A$2:$A$10,0)),"Nature inconnue"))</f>
        <v/>
      </c>
      <c r="F64" s="11" t="n"/>
      <c r="G64" s="9" t="n"/>
    </row>
    <row r="65">
      <c r="B65" s="28" t="n"/>
      <c r="C65" s="9" t="n"/>
      <c r="D65" s="9" t="n"/>
      <c r="E65" s="18" t="str">
        <f>IF(D65="","",IFERROR(INDEX(Listes!$B$2:$B$10,MATCH(D65,Listes!$A$2:$A$10,0)),"Nature inconnue"))</f>
        <v/>
      </c>
      <c r="F65" s="11" t="n"/>
      <c r="G65" s="9" t="n"/>
    </row>
    <row r="66">
      <c r="B66" s="28" t="n"/>
      <c r="C66" s="9" t="n"/>
      <c r="D66" s="9" t="n"/>
      <c r="E66" s="18" t="str">
        <f>IF(D66="","",IFERROR(INDEX(Listes!$B$2:$B$10,MATCH(D66,Listes!$A$2:$A$10,0)),"Nature inconnue"))</f>
        <v/>
      </c>
      <c r="F66" s="11" t="n"/>
      <c r="G66" s="9" t="n"/>
    </row>
    <row r="67">
      <c r="B67" s="28" t="n"/>
      <c r="C67" s="9" t="n"/>
      <c r="D67" s="9" t="n"/>
      <c r="E67" s="18" t="str">
        <f>IF(D67="","",IFERROR(INDEX(Listes!$B$2:$B$10,MATCH(D67,Listes!$A$2:$A$10,0)),"Nature inconnue"))</f>
        <v/>
      </c>
      <c r="F67" s="11" t="n"/>
      <c r="G67" s="9" t="n"/>
    </row>
    <row r="68">
      <c r="B68" s="28" t="n"/>
      <c r="C68" s="9" t="n"/>
      <c r="D68" s="9" t="n"/>
      <c r="E68" s="18" t="str">
        <f>IF(D68="","",IFERROR(INDEX(Listes!$B$2:$B$10,MATCH(D68,Listes!$A$2:$A$10,0)),"Nature inconnue"))</f>
        <v/>
      </c>
      <c r="F68" s="11" t="n"/>
      <c r="G68" s="9" t="n"/>
    </row>
    <row r="69">
      <c r="B69" s="28" t="n"/>
      <c r="C69" s="9" t="n"/>
      <c r="D69" s="9" t="n"/>
      <c r="E69" s="18" t="str">
        <f>IF(D69="","",IFERROR(INDEX(Listes!$B$2:$B$10,MATCH(D69,Listes!$A$2:$A$10,0)),"Nature inconnue"))</f>
        <v/>
      </c>
      <c r="F69" s="11" t="n"/>
      <c r="G69" s="9" t="n"/>
    </row>
    <row r="70">
      <c r="B70" s="28" t="n"/>
      <c r="C70" s="9" t="n"/>
      <c r="D70" s="9" t="n"/>
      <c r="E70" s="18" t="str">
        <f>IF(D70="","",IFERROR(INDEX(Listes!$B$2:$B$10,MATCH(D70,Listes!$A$2:$A$10,0)),"Nature inconnue"))</f>
        <v/>
      </c>
      <c r="F70" s="11" t="n"/>
      <c r="G70" s="9" t="n"/>
    </row>
    <row r="71">
      <c r="B71" s="28" t="n"/>
      <c r="C71" s="9" t="n"/>
      <c r="D71" s="9" t="n"/>
      <c r="E71" s="18" t="str">
        <f>IF(D71="","",IFERROR(INDEX(Listes!$B$2:$B$10,MATCH(D71,Listes!$A$2:$A$10,0)),"Nature inconnue"))</f>
        <v/>
      </c>
      <c r="F71" s="11" t="n"/>
      <c r="G71" s="9" t="n"/>
    </row>
    <row r="72">
      <c r="B72" s="28" t="n"/>
      <c r="C72" s="9" t="n"/>
      <c r="D72" s="9" t="n"/>
      <c r="E72" s="18" t="str">
        <f>IF(D72="","",IFERROR(INDEX(Listes!$B$2:$B$10,MATCH(D72,Listes!$A$2:$A$10,0)),"Nature inconnue"))</f>
        <v/>
      </c>
      <c r="F72" s="11" t="n"/>
      <c r="G72" s="9" t="n"/>
    </row>
    <row r="73">
      <c r="B73" s="28" t="n"/>
      <c r="C73" s="9" t="n"/>
      <c r="D73" s="9" t="n"/>
      <c r="E73" s="18" t="str">
        <f>IF(D73="","",IFERROR(INDEX(Listes!$B$2:$B$10,MATCH(D73,Listes!$A$2:$A$10,0)),"Nature inconnue"))</f>
        <v/>
      </c>
      <c r="F73" s="11" t="n"/>
      <c r="G73" s="9" t="n"/>
    </row>
    <row r="74">
      <c r="B74" s="28" t="n"/>
      <c r="C74" s="9" t="n"/>
      <c r="D74" s="9" t="n"/>
      <c r="E74" s="18" t="str">
        <f>IF(D74="","",IFERROR(INDEX(Listes!$B$2:$B$10,MATCH(D74,Listes!$A$2:$A$10,0)),"Nature inconnue"))</f>
        <v/>
      </c>
      <c r="F74" s="11" t="n"/>
      <c r="G74" s="9" t="n"/>
    </row>
    <row r="75">
      <c r="B75" s="28" t="n"/>
      <c r="C75" s="9" t="n"/>
      <c r="D75" s="9" t="n"/>
      <c r="E75" s="18" t="str">
        <f>IF(D75="","",IFERROR(INDEX(Listes!$B$2:$B$10,MATCH(D75,Listes!$A$2:$A$10,0)),"Nature inconnue"))</f>
        <v/>
      </c>
      <c r="F75" s="11" t="n"/>
      <c r="G75" s="9" t="n"/>
    </row>
    <row r="76">
      <c r="B76" s="28" t="n"/>
      <c r="C76" s="9" t="n"/>
      <c r="D76" s="9" t="n"/>
      <c r="E76" s="18" t="str">
        <f>IF(D76="","",IFERROR(INDEX(Listes!$B$2:$B$10,MATCH(D76,Listes!$A$2:$A$10,0)),"Nature inconnue"))</f>
        <v/>
      </c>
      <c r="F76" s="11" t="n"/>
      <c r="G76" s="9" t="n"/>
    </row>
    <row r="77">
      <c r="B77" s="28" t="n"/>
      <c r="C77" s="9" t="n"/>
      <c r="D77" s="9" t="n"/>
      <c r="E77" s="18" t="str">
        <f>IF(D77="","",IFERROR(INDEX(Listes!$B$2:$B$10,MATCH(D77,Listes!$A$2:$A$10,0)),"Nature inconnue"))</f>
        <v/>
      </c>
      <c r="F77" s="11" t="n"/>
      <c r="G77" s="9" t="n"/>
    </row>
    <row r="78">
      <c r="B78" s="28" t="n"/>
      <c r="C78" s="9" t="n"/>
      <c r="D78" s="9" t="n"/>
      <c r="E78" s="18" t="str">
        <f>IF(D78="","",IFERROR(INDEX(Listes!$B$2:$B$10,MATCH(D78,Listes!$A$2:$A$10,0)),"Nature inconnue"))</f>
        <v/>
      </c>
      <c r="F78" s="11" t="n"/>
      <c r="G78" s="9" t="n"/>
    </row>
    <row r="79">
      <c r="B79" s="28" t="n"/>
      <c r="C79" s="9" t="n"/>
      <c r="D79" s="9" t="n"/>
      <c r="E79" s="18" t="str">
        <f>IF(D79="","",IFERROR(INDEX(Listes!$B$2:$B$10,MATCH(D79,Listes!$A$2:$A$10,0)),"Nature inconnue"))</f>
        <v/>
      </c>
      <c r="F79" s="11" t="n"/>
      <c r="G79" s="9" t="n"/>
    </row>
    <row r="80">
      <c r="B80" s="28" t="n"/>
      <c r="C80" s="9" t="n"/>
      <c r="D80" s="9" t="n"/>
      <c r="E80" s="18" t="str">
        <f>IF(D80="","",IFERROR(INDEX(Listes!$B$2:$B$10,MATCH(D80,Listes!$A$2:$A$10,0)),"Nature inconnue"))</f>
        <v/>
      </c>
      <c r="F80" s="11" t="n"/>
      <c r="G80" s="9" t="n"/>
    </row>
    <row r="81">
      <c r="B81" s="28" t="n"/>
      <c r="C81" s="9" t="n"/>
      <c r="D81" s="9" t="n"/>
      <c r="E81" s="18" t="str">
        <f>IF(D81="","",IFERROR(INDEX(Listes!$B$2:$B$10,MATCH(D81,Listes!$A$2:$A$10,0)),"Nature inconnue"))</f>
        <v/>
      </c>
      <c r="F81" s="11" t="n"/>
      <c r="G81" s="9" t="n"/>
    </row>
    <row r="82">
      <c r="B82" s="28" t="n"/>
      <c r="C82" s="9" t="n"/>
      <c r="D82" s="9" t="n"/>
      <c r="E82" s="18" t="str">
        <f>IF(D82="","",IFERROR(INDEX(Listes!$B$2:$B$10,MATCH(D82,Listes!$A$2:$A$10,0)),"Nature inconnue"))</f>
        <v/>
      </c>
      <c r="F82" s="11" t="n"/>
      <c r="G82" s="9" t="n"/>
    </row>
    <row r="83">
      <c r="B83" s="28" t="n"/>
      <c r="C83" s="9" t="n"/>
      <c r="D83" s="9" t="n"/>
      <c r="E83" s="18" t="str">
        <f>IF(D83="","",IFERROR(INDEX(Listes!$B$2:$B$10,MATCH(D83,Listes!$A$2:$A$10,0)),"Nature inconnue"))</f>
        <v/>
      </c>
      <c r="F83" s="11" t="n"/>
      <c r="G83" s="9" t="n"/>
    </row>
    <row r="84">
      <c r="B84" s="28" t="n"/>
      <c r="C84" s="9" t="n"/>
      <c r="D84" s="9" t="n"/>
      <c r="E84" s="18" t="str">
        <f>IF(D84="","",IFERROR(INDEX(Listes!$B$2:$B$10,MATCH(D84,Listes!$A$2:$A$10,0)),"Nature inconnue"))</f>
        <v/>
      </c>
      <c r="F84" s="11" t="n"/>
      <c r="G84" s="9" t="n"/>
    </row>
    <row r="85">
      <c r="B85" s="28" t="n"/>
      <c r="C85" s="9" t="n"/>
      <c r="D85" s="9" t="n"/>
      <c r="E85" s="18" t="str">
        <f>IF(D85="","",IFERROR(INDEX(Listes!$B$2:$B$10,MATCH(D85,Listes!$A$2:$A$10,0)),"Nature inconnue"))</f>
        <v/>
      </c>
      <c r="F85" s="11" t="n"/>
      <c r="G85" s="9" t="n"/>
    </row>
    <row r="86">
      <c r="B86" s="28" t="n"/>
      <c r="C86" s="9" t="n"/>
      <c r="D86" s="9" t="n"/>
      <c r="E86" s="18" t="str">
        <f>IF(D86="","",IFERROR(INDEX(Listes!$B$2:$B$10,MATCH(D86,Listes!$A$2:$A$10,0)),"Nature inconnue"))</f>
        <v/>
      </c>
      <c r="F86" s="11" t="n"/>
      <c r="G86" s="9" t="n"/>
    </row>
    <row r="87">
      <c r="B87" s="28" t="n"/>
      <c r="C87" s="9" t="n"/>
      <c r="D87" s="9" t="n"/>
      <c r="E87" s="18" t="str">
        <f>IF(D87="","",IFERROR(INDEX(Listes!$B$2:$B$10,MATCH(D87,Listes!$A$2:$A$10,0)),"Nature inconnue"))</f>
        <v/>
      </c>
      <c r="F87" s="11" t="n"/>
      <c r="G87" s="9" t="n"/>
    </row>
    <row r="88">
      <c r="B88" s="28" t="n"/>
      <c r="C88" s="9" t="n"/>
      <c r="D88" s="9" t="n"/>
      <c r="E88" s="18" t="str">
        <f>IF(D88="","",IFERROR(INDEX(Listes!$B$2:$B$10,MATCH(D88,Listes!$A$2:$A$10,0)),"Nature inconnue"))</f>
        <v/>
      </c>
      <c r="F88" s="11" t="n"/>
      <c r="G88" s="9" t="n"/>
    </row>
    <row r="89">
      <c r="B89" s="28" t="n"/>
      <c r="C89" s="9" t="n"/>
      <c r="D89" s="9" t="n"/>
      <c r="E89" s="18" t="str">
        <f>IF(D89="","",IFERROR(INDEX(Listes!$B$2:$B$10,MATCH(D89,Listes!$A$2:$A$10,0)),"Nature inconnue"))</f>
        <v/>
      </c>
      <c r="F89" s="11" t="n"/>
      <c r="G89" s="9" t="n"/>
    </row>
    <row r="90">
      <c r="B90" s="28" t="n"/>
      <c r="C90" s="9" t="n"/>
      <c r="D90" s="9" t="n"/>
      <c r="E90" s="18" t="str">
        <f>IF(D90="","",IFERROR(INDEX(Listes!$B$2:$B$10,MATCH(D90,Listes!$A$2:$A$10,0)),"Nature inconnue"))</f>
        <v/>
      </c>
      <c r="F90" s="11" t="n"/>
      <c r="G90" s="9" t="n"/>
    </row>
    <row r="91">
      <c r="B91" s="28" t="n"/>
      <c r="C91" s="9" t="n"/>
      <c r="D91" s="9" t="n"/>
      <c r="E91" s="18" t="str">
        <f>IF(D91="","",IFERROR(INDEX(Listes!$B$2:$B$10,MATCH(D91,Listes!$A$2:$A$10,0)),"Nature inconnue"))</f>
        <v/>
      </c>
      <c r="F91" s="11" t="n"/>
      <c r="G91" s="9" t="n"/>
    </row>
    <row r="92">
      <c r="B92" s="28" t="n"/>
      <c r="C92" s="9" t="n"/>
      <c r="D92" s="9" t="n"/>
      <c r="E92" s="18" t="str">
        <f>IF(D92="","",IFERROR(INDEX(Listes!$B$2:$B$10,MATCH(D92,Listes!$A$2:$A$10,0)),"Nature inconnue"))</f>
        <v/>
      </c>
      <c r="F92" s="11" t="n"/>
      <c r="G92" s="9" t="n"/>
    </row>
    <row r="93">
      <c r="B93" s="28" t="n"/>
      <c r="C93" s="9" t="n"/>
      <c r="D93" s="9" t="n"/>
      <c r="E93" s="18" t="str">
        <f>IF(D93="","",IFERROR(INDEX(Listes!$B$2:$B$10,MATCH(D93,Listes!$A$2:$A$10,0)),"Nature inconnue"))</f>
        <v/>
      </c>
      <c r="F93" s="11" t="n"/>
      <c r="G93" s="9" t="n"/>
    </row>
    <row r="94">
      <c r="B94" s="28" t="n"/>
      <c r="C94" s="9" t="n"/>
      <c r="D94" s="9" t="n"/>
      <c r="E94" s="18" t="str">
        <f>IF(D94="","",IFERROR(INDEX(Listes!$B$2:$B$10,MATCH(D94,Listes!$A$2:$A$10,0)),"Nature inconnue"))</f>
        <v/>
      </c>
      <c r="F94" s="11" t="n"/>
      <c r="G94" s="9" t="n"/>
    </row>
    <row r="95">
      <c r="B95" s="28" t="n"/>
      <c r="C95" s="9" t="n"/>
      <c r="D95" s="9" t="n"/>
      <c r="E95" s="18" t="str">
        <f>IF(D95="","",IFERROR(INDEX(Listes!$B$2:$B$10,MATCH(D95,Listes!$A$2:$A$10,0)),"Nature inconnue"))</f>
        <v/>
      </c>
      <c r="F95" s="11" t="n"/>
      <c r="G95" s="9" t="n"/>
    </row>
    <row r="96">
      <c r="B96" s="28" t="n"/>
      <c r="C96" s="9" t="n"/>
      <c r="D96" s="9" t="n"/>
      <c r="E96" s="18" t="str">
        <f>IF(D96="","",IFERROR(INDEX(Listes!$B$2:$B$10,MATCH(D96,Listes!$A$2:$A$10,0)),"Nature inconnue"))</f>
        <v/>
      </c>
      <c r="F96" s="11" t="n"/>
      <c r="G96" s="9" t="n"/>
    </row>
    <row r="97">
      <c r="B97" s="28" t="n"/>
      <c r="C97" s="9" t="n"/>
      <c r="D97" s="9" t="n"/>
      <c r="E97" s="18" t="str">
        <f>IF(D97="","",IFERROR(INDEX(Listes!$B$2:$B$10,MATCH(D97,Listes!$A$2:$A$10,0)),"Nature inconnue"))</f>
        <v/>
      </c>
      <c r="F97" s="11" t="n"/>
      <c r="G97" s="9" t="n"/>
    </row>
    <row r="98">
      <c r="B98" s="28" t="n"/>
      <c r="C98" s="9" t="n"/>
      <c r="D98" s="9" t="n"/>
      <c r="E98" s="18" t="str">
        <f>IF(D98="","",IFERROR(INDEX(Listes!$B$2:$B$10,MATCH(D98,Listes!$A$2:$A$10,0)),"Nature inconnue"))</f>
        <v/>
      </c>
      <c r="F98" s="11" t="n"/>
      <c r="G98" s="9" t="n"/>
    </row>
    <row r="99">
      <c r="B99" s="28" t="n"/>
      <c r="C99" s="9" t="n"/>
      <c r="D99" s="9" t="n"/>
      <c r="E99" s="18" t="str">
        <f>IF(D99="","",IFERROR(INDEX(Listes!$B$2:$B$10,MATCH(D99,Listes!$A$2:$A$10,0)),"Nature inconnue"))</f>
        <v/>
      </c>
      <c r="F99" s="11" t="n"/>
      <c r="G99" s="9" t="n"/>
    </row>
    <row r="100">
      <c r="B100" s="28" t="n"/>
      <c r="C100" s="9" t="n"/>
      <c r="D100" s="9" t="n"/>
      <c r="E100" s="18" t="str">
        <f>IF(D100="","",IFERROR(INDEX(Listes!$B$2:$B$10,MATCH(D100,Listes!$A$2:$A$10,0)),"Nature inconnue"))</f>
        <v/>
      </c>
      <c r="F100" s="11" t="n"/>
      <c r="G100" s="9" t="n"/>
    </row>
    <row r="101">
      <c r="B101" s="28" t="n"/>
      <c r="C101" s="9" t="n"/>
      <c r="D101" s="9" t="n"/>
      <c r="E101" s="18" t="str">
        <f>IF(D101="","",IFERROR(INDEX(Listes!$B$2:$B$10,MATCH(D101,Listes!$A$2:$A$10,0)),"Nature inconnue"))</f>
        <v/>
      </c>
      <c r="F101" s="11" t="n"/>
      <c r="G101" s="9" t="n"/>
    </row>
    <row r="102">
      <c r="B102" s="28" t="n"/>
      <c r="C102" s="9" t="n"/>
      <c r="D102" s="9" t="n"/>
      <c r="E102" s="18" t="str">
        <f>IF(D102="","",IFERROR(INDEX(Listes!$B$2:$B$10,MATCH(D102,Listes!$A$2:$A$10,0)),"Nature inconnue"))</f>
        <v/>
      </c>
      <c r="F102" s="11" t="n"/>
      <c r="G102" s="9" t="n"/>
    </row>
    <row r="103">
      <c r="B103" s="28" t="n"/>
      <c r="C103" s="9" t="n"/>
      <c r="D103" s="9" t="n"/>
      <c r="E103" s="18" t="str">
        <f>IF(D103="","",IFERROR(INDEX(Listes!$B$2:$B$10,MATCH(D103,Listes!$A$2:$A$10,0)),"Nature inconnue"))</f>
        <v/>
      </c>
      <c r="F103" s="11" t="n"/>
      <c r="G103" s="9" t="n"/>
    </row>
    <row r="104">
      <c r="B104" s="28" t="n"/>
      <c r="C104" s="9" t="n"/>
      <c r="D104" s="9" t="n"/>
      <c r="E104" s="18" t="str">
        <f>IF(D104="","",IFERROR(INDEX(Listes!$B$2:$B$10,MATCH(D104,Listes!$A$2:$A$10,0)),"Nature inconnue"))</f>
        <v/>
      </c>
      <c r="F104" s="11" t="n"/>
      <c r="G104" s="9" t="n"/>
    </row>
    <row r="105">
      <c r="B105" s="28" t="n"/>
      <c r="C105" s="9" t="n"/>
      <c r="D105" s="9" t="n"/>
      <c r="E105" s="18" t="str">
        <f>IF(D105="","",IFERROR(INDEX(Listes!$B$2:$B$10,MATCH(D105,Listes!$A$2:$A$10,0)),"Nature inconnue"))</f>
        <v/>
      </c>
      <c r="F105" s="11" t="n"/>
      <c r="G105" s="9" t="n"/>
    </row>
    <row r="106">
      <c r="B106" s="28" t="n"/>
      <c r="C106" s="9" t="n"/>
      <c r="D106" s="9" t="n"/>
      <c r="E106" s="18" t="str">
        <f>IF(D106="","",IFERROR(INDEX(Listes!$B$2:$B$10,MATCH(D106,Listes!$A$2:$A$10,0)),"Nature inconnue"))</f>
        <v/>
      </c>
      <c r="F106" s="11" t="n"/>
      <c r="G106" s="9" t="n"/>
    </row>
    <row r="107">
      <c r="B107" s="28" t="n"/>
      <c r="C107" s="9" t="n"/>
      <c r="D107" s="9" t="n"/>
      <c r="E107" s="18" t="str">
        <f>IF(D107="","",IFERROR(INDEX(Listes!$B$2:$B$10,MATCH(D107,Listes!$A$2:$A$10,0)),"Nature inconnue"))</f>
        <v/>
      </c>
      <c r="F107" s="11" t="n"/>
      <c r="G107" s="9" t="n"/>
    </row>
    <row r="108">
      <c r="B108" s="25" t="inlineStr">
        <is>
          <t>Total encaissements</t>
        </is>
      </c>
      <c r="F108" s="20">
        <f>SUMIFS(F8:F107,E8:E107,"Encaissement")</f>
        <v>213250</v>
      </c>
    </row>
    <row r="109">
      <c r="B109" s="25" t="inlineStr">
        <is>
          <t>Total décaissements</t>
        </is>
      </c>
      <c r="F109" s="20">
        <f>SUMIFS(F8:F107,E8:E107,"Décaissement")</f>
        <v>143690</v>
      </c>
    </row>
    <row r="110">
      <c r="B110" s="17" t="inlineStr">
        <is>
          <t>Pensez à la taxe foncière (date de l'avis), aux régularisations de charges, aux travaux de gros entretien et aux subventions attendues.</t>
        </is>
      </c>
    </row>
    <row r="112">
      <c r="B112" s="6"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dataValidations count="4">
    <dataValidation sqref="B8:B107" showDropDown="0" showInputMessage="0" showErrorMessage="0" allowBlank="1" errorTitle="Date" error="Saisissez une date (jj/mm/aaaa)." type="date" operator="greaterThan">
      <formula1>36526</formula1>
    </dataValidation>
    <dataValidation sqref="C8:C107" showDropDown="0" showInputMessage="0" showErrorMessage="0" allowBlank="1" type="list">
      <formula1>='Saisie par immeuble'!$B$8:$B$17</formula1>
    </dataValidation>
    <dataValidation sqref="D8:D107" showDropDown="0" showInputMessage="0" showErrorMessage="0" allowBlank="1" type="list">
      <formula1>=Listes!$A$2:$A$10</formula1>
    </dataValidation>
    <dataValidation sqref="F8:F107" showDropDown="0" showInputMessage="0" showErrorMessage="0" allowBlank="1" errorTitle="Montant" error="Le montant est toujours positif : le sens vient de la nature." type="decimal" operator="greaterThanOrEqual">
      <formula1>0</formula1>
    </dataValidation>
  </dataValidations>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xl/worksheets/sheet5.xml><?xml version="1.0" encoding="utf-8"?>
<worksheet xmlns="http://schemas.openxmlformats.org/spreadsheetml/2006/main">
  <sheetPr>
    <tabColor rgb="003F6491"/>
    <outlinePr summaryBelow="1" summaryRight="1"/>
    <pageSetUpPr fitToPage="1"/>
  </sheetPr>
  <dimension ref="B2:M34"/>
  <sheetViews>
    <sheetView showGridLines="0" workbookViewId="0">
      <pane xSplit="4" ySplit="9" topLeftCell="E10"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12" customWidth="1" min="3" max="3"/>
    <col width="12"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6" customWidth="1" min="13" max="13"/>
  </cols>
  <sheetData>
    <row r="2">
      <c r="B2" s="1" t="inlineStr">
        <is>
          <t>TRÉSORERIE À 13 SEMAINES (90 JOURS)</t>
        </is>
      </c>
    </row>
    <row r="3">
      <c r="B3" s="2" t="inlineStr">
        <is>
          <t>Alimentée par l'onglet « Échéances ». Mettez à jour le solde de départ et la date chaque mois.</t>
        </is>
      </c>
    </row>
    <row r="5">
      <c r="B5" s="25" t="inlineStr">
        <is>
          <t>Date de début (un lundi)</t>
        </is>
      </c>
      <c r="E5" s="28" t="n">
        <v>46335</v>
      </c>
      <c r="G5" s="17" t="inlineStr">
        <is>
          <t>Valeurs de l'exemple fictif : remplacez-les par les vôtres.</t>
        </is>
      </c>
    </row>
    <row r="6">
      <c r="B6" s="25" t="inlineStr">
        <is>
          <t>Solde bancaire au départ</t>
        </is>
      </c>
      <c r="E6" s="11" t="n">
        <v>20000</v>
      </c>
    </row>
    <row r="7">
      <c r="B7" s="25" t="inlineStr">
        <is>
          <t>Seuil d'alerte (matelas de sécurité)</t>
        </is>
      </c>
      <c r="E7" s="11" t="n">
        <v>20000</v>
      </c>
    </row>
    <row r="9" ht="45" customHeight="1">
      <c r="B9" s="8" t="inlineStr">
        <is>
          <t>Semaine</t>
        </is>
      </c>
      <c r="C9" s="8" t="inlineStr">
        <is>
          <t>Du</t>
        </is>
      </c>
      <c r="D9" s="8" t="inlineStr">
        <is>
          <t>Au</t>
        </is>
      </c>
      <c r="E9" s="8" t="inlineStr">
        <is>
          <t>Loyers et charges encaissés</t>
        </is>
      </c>
      <c r="F9" s="8" t="inlineStr">
        <is>
          <t>Autres encaissements</t>
        </is>
      </c>
      <c r="G9" s="8" t="inlineStr">
        <is>
          <t>Échéances d'emprunt</t>
        </is>
      </c>
      <c r="H9" s="8" t="inlineStr">
        <is>
          <t>Taxe foncière</t>
        </is>
      </c>
      <c r="I9" s="8" t="inlineStr">
        <is>
          <t>Travaux et entretien</t>
        </is>
      </c>
      <c r="J9" s="8" t="inlineStr">
        <is>
          <t>Autres décaissements</t>
        </is>
      </c>
      <c r="K9" s="8" t="inlineStr">
        <is>
          <t>Flux net de la semaine</t>
        </is>
      </c>
      <c r="L9" s="8" t="inlineStr">
        <is>
          <t>Solde en fin de semaine</t>
        </is>
      </c>
      <c r="M9" s="8" t="inlineStr">
        <is>
          <t>Alerte</t>
        </is>
      </c>
    </row>
    <row r="10">
      <c r="B10" s="18" t="inlineStr">
        <is>
          <t>S1</t>
        </is>
      </c>
      <c r="C10" s="29">
        <f>$E$5+0</f>
        <v>46335</v>
      </c>
      <c r="D10" s="29">
        <f>C10+6</f>
        <v>46341</v>
      </c>
      <c r="E10" s="19">
        <f>SUMIFS('Échéances'!$F$8:$F$107,'Échéances'!$D$8:$D$107,"Loyers et charges encaissés",'Échéances'!$B$8:$B$107,"&gt;="&amp;$C10,'Échéances'!$B$8:$B$107,"&lt;="&amp;$D10)</f>
        <v>44000</v>
      </c>
      <c r="F10" s="19">
        <f>SUMIFS('Échéances'!$F$8:$F$107,'Échéances'!$E$8:$E$107,"Encaissement",'Échéances'!$B$8:$B$107,"&gt;="&amp;$C10,'Échéances'!$B$8:$B$107,"&lt;="&amp;$D10)-E10</f>
        <v>0</v>
      </c>
      <c r="G10">
        <f>-SUMIFS('Échéances'!$F$8:$F$107,'Échéances'!$D$8:$D$107,"Échéance d'emprunt",'Échéances'!$B$8:$B$107,"&gt;="&amp;$C10,'Échéances'!$B$8:$B$107,"&lt;="&amp;$D10)</f>
        <v>-17830</v>
      </c>
      <c r="H10" s="19">
        <f>-SUMIFS('Échéances'!$F$8:$F$107,'Échéances'!$D$8:$D$107,"Taxe foncière",'Échéances'!$B$8:$B$107,"&gt;="&amp;$C10,'Échéances'!$B$8:$B$107,"&lt;="&amp;$D10)</f>
        <v>0</v>
      </c>
      <c r="I10" s="19">
        <f>-SUMIFS('Échéances'!$F$8:$F$107,'Échéances'!$D$8:$D$107,"Travaux et entretien",'Échéances'!$B$8:$B$107,"&gt;="&amp;$C10,'Échéances'!$B$8:$B$107,"&lt;="&amp;$D10)</f>
        <v>0</v>
      </c>
      <c r="J10" s="19">
        <f>-SUMIFS('Échéances'!$F$8:$F$107,'Échéances'!$E$8:$E$107,"Décaissement",'Échéances'!$B$8:$B$107,"&gt;="&amp;$C10,'Échéances'!$B$8:$B$107,"&lt;="&amp;$D10)-G10-H10-I10</f>
        <v>-17500</v>
      </c>
      <c r="K10" s="20">
        <f>SUM(E10:J10)</f>
        <v>8670</v>
      </c>
      <c r="L10" s="20">
        <f>$E$6+K10</f>
        <v>28670</v>
      </c>
      <c r="M10" s="18" t="str">
        <f>IF(L10&lt;0,"Découvert",IF(L10&lt;$E$7,"Sous le seuil",""))</f>
        <v/>
      </c>
    </row>
    <row r="11">
      <c r="B11" s="18" t="inlineStr">
        <is>
          <t>S2</t>
        </is>
      </c>
      <c r="C11" s="29">
        <f>$E$5+7</f>
        <v>46342</v>
      </c>
      <c r="D11" s="29">
        <f>C11+6</f>
        <v>46348</v>
      </c>
      <c r="E11" s="19">
        <f>SUMIFS('Échéances'!$F$8:$F$107,'Échéances'!$D$8:$D$107,"Loyers et charges encaissés",'Échéances'!$B$8:$B$107,"&gt;="&amp;$C11,'Échéances'!$B$8:$B$107,"&lt;="&amp;$D11)</f>
        <v>0</v>
      </c>
      <c r="F11" s="19">
        <f>SUMIFS('Échéances'!$F$8:$F$107,'Échéances'!$E$8:$E$107,"Encaissement",'Échéances'!$B$8:$B$107,"&gt;="&amp;$C11,'Échéances'!$B$8:$B$107,"&lt;="&amp;$D11)-E11</f>
        <v>0</v>
      </c>
      <c r="G11">
        <f>-SUMIFS('Échéances'!$F$8:$F$107,'Échéances'!$D$8:$D$107,"Échéance d'emprunt",'Échéances'!$B$8:$B$107,"&gt;="&amp;$C11,'Échéances'!$B$8:$B$107,"&lt;="&amp;$D11)</f>
        <v>0</v>
      </c>
      <c r="H11" s="19">
        <f>-SUMIFS('Échéances'!$F$8:$F$107,'Échéances'!$D$8:$D$107,"Taxe foncière",'Échéances'!$B$8:$B$107,"&gt;="&amp;$C11,'Échéances'!$B$8:$B$107,"&lt;="&amp;$D11)</f>
        <v>0</v>
      </c>
      <c r="I11" s="19">
        <f>-SUMIFS('Échéances'!$F$8:$F$107,'Échéances'!$D$8:$D$107,"Travaux et entretien",'Échéances'!$B$8:$B$107,"&gt;="&amp;$C11,'Échéances'!$B$8:$B$107,"&lt;="&amp;$D11)</f>
        <v>0</v>
      </c>
      <c r="J11" s="19">
        <f>-SUMIFS('Échéances'!$F$8:$F$107,'Échéances'!$E$8:$E$107,"Décaissement",'Échéances'!$B$8:$B$107,"&gt;="&amp;$C11,'Échéances'!$B$8:$B$107,"&lt;="&amp;$D11)-G11-H11-I11</f>
        <v>0</v>
      </c>
      <c r="K11" s="20">
        <f>SUM(E11:J11)</f>
        <v>0</v>
      </c>
      <c r="L11" s="20">
        <f>L10+K11</f>
        <v>28670</v>
      </c>
      <c r="M11" s="18" t="str">
        <f>IF(L11&lt;0,"Découvert",IF(L11&lt;$E$7,"Sous le seuil",""))</f>
        <v/>
      </c>
    </row>
    <row r="12">
      <c r="B12" s="18" t="inlineStr">
        <is>
          <t>S3</t>
        </is>
      </c>
      <c r="C12" s="29">
        <f>$E$5+14</f>
        <v>46349</v>
      </c>
      <c r="D12" s="29">
        <f>C12+6</f>
        <v>46355</v>
      </c>
      <c r="E12" s="19">
        <f>SUMIFS('Échéances'!$F$8:$F$107,'Échéances'!$D$8:$D$107,"Loyers et charges encaissés",'Échéances'!$B$8:$B$107,"&gt;="&amp;$C12,'Échéances'!$B$8:$B$107,"&lt;="&amp;$D12)</f>
        <v>0</v>
      </c>
      <c r="F12" s="19">
        <f>SUMIFS('Échéances'!$F$8:$F$107,'Échéances'!$E$8:$E$107,"Encaissement",'Échéances'!$B$8:$B$107,"&gt;="&amp;$C12,'Échéances'!$B$8:$B$107,"&lt;="&amp;$D12)-E12</f>
        <v>0</v>
      </c>
      <c r="G12">
        <f>-SUMIFS('Échéances'!$F$8:$F$107,'Échéances'!$D$8:$D$107,"Échéance d'emprunt",'Échéances'!$B$8:$B$107,"&gt;="&amp;$C12,'Échéances'!$B$8:$B$107,"&lt;="&amp;$D12)</f>
        <v>0</v>
      </c>
      <c r="H12" s="19">
        <f>-SUMIFS('Échéances'!$F$8:$F$107,'Échéances'!$D$8:$D$107,"Taxe foncière",'Échéances'!$B$8:$B$107,"&gt;="&amp;$C12,'Échéances'!$B$8:$B$107,"&lt;="&amp;$D12)</f>
        <v>0</v>
      </c>
      <c r="I12" s="19">
        <f>-SUMIFS('Échéances'!$F$8:$F$107,'Échéances'!$D$8:$D$107,"Travaux et entretien",'Échéances'!$B$8:$B$107,"&gt;="&amp;$C12,'Échéances'!$B$8:$B$107,"&lt;="&amp;$D12)</f>
        <v>0</v>
      </c>
      <c r="J12" s="19">
        <f>-SUMIFS('Échéances'!$F$8:$F$107,'Échéances'!$E$8:$E$107,"Décaissement",'Échéances'!$B$8:$B$107,"&gt;="&amp;$C12,'Échéances'!$B$8:$B$107,"&lt;="&amp;$D12)-G12-H12-I12</f>
        <v>0</v>
      </c>
      <c r="K12" s="20">
        <f>SUM(E12:J12)</f>
        <v>0</v>
      </c>
      <c r="L12" s="20">
        <f>L11+K12</f>
        <v>28670</v>
      </c>
      <c r="M12" s="18" t="str">
        <f>IF(L12&lt;0,"Découvert",IF(L12&lt;$E$7,"Sous le seuil",""))</f>
        <v/>
      </c>
    </row>
    <row r="13">
      <c r="B13" s="18" t="inlineStr">
        <is>
          <t>S4</t>
        </is>
      </c>
      <c r="C13" s="29">
        <f>$E$5+21</f>
        <v>46356</v>
      </c>
      <c r="D13" s="29">
        <f>C13+6</f>
        <v>46362</v>
      </c>
      <c r="E13" s="19">
        <f>SUMIFS('Échéances'!$F$8:$F$107,'Échéances'!$D$8:$D$107,"Loyers et charges encaissés",'Échéances'!$B$8:$B$107,"&gt;="&amp;$C13,'Échéances'!$B$8:$B$107,"&lt;="&amp;$D13)</f>
        <v>44000</v>
      </c>
      <c r="F13" s="19">
        <f>SUMIFS('Échéances'!$F$8:$F$107,'Échéances'!$E$8:$E$107,"Encaissement",'Échéances'!$B$8:$B$107,"&gt;="&amp;$C13,'Échéances'!$B$8:$B$107,"&lt;="&amp;$D13)-E13</f>
        <v>0</v>
      </c>
      <c r="G13">
        <f>-SUMIFS('Échéances'!$F$8:$F$107,'Échéances'!$D$8:$D$107,"Échéance d'emprunt",'Échéances'!$B$8:$B$107,"&gt;="&amp;$C13,'Échéances'!$B$8:$B$107,"&lt;="&amp;$D13)</f>
        <v>0</v>
      </c>
      <c r="H13" s="19">
        <f>-SUMIFS('Échéances'!$F$8:$F$107,'Échéances'!$D$8:$D$107,"Taxe foncière",'Échéances'!$B$8:$B$107,"&gt;="&amp;$C13,'Échéances'!$B$8:$B$107,"&lt;="&amp;$D13)</f>
        <v>0</v>
      </c>
      <c r="I13" s="19">
        <f>-SUMIFS('Échéances'!$F$8:$F$107,'Échéances'!$D$8:$D$107,"Travaux et entretien",'Échéances'!$B$8:$B$107,"&gt;="&amp;$C13,'Échéances'!$B$8:$B$107,"&lt;="&amp;$D13)</f>
        <v>0</v>
      </c>
      <c r="J13" s="19">
        <f>-SUMIFS('Échéances'!$F$8:$F$107,'Échéances'!$E$8:$E$107,"Décaissement",'Échéances'!$B$8:$B$107,"&gt;="&amp;$C13,'Échéances'!$B$8:$B$107,"&lt;="&amp;$D13)-G13-H13-I13</f>
        <v>0</v>
      </c>
      <c r="K13" s="20">
        <f>SUM(E13:J13)</f>
        <v>44000</v>
      </c>
      <c r="L13" s="20">
        <f>L12+K13</f>
        <v>72670</v>
      </c>
      <c r="M13" s="18" t="str">
        <f>IF(L13&lt;0,"Découvert",IF(L13&lt;$E$7,"Sous le seuil",""))</f>
        <v/>
      </c>
    </row>
    <row r="14">
      <c r="B14" s="18" t="inlineStr">
        <is>
          <t>S5</t>
        </is>
      </c>
      <c r="C14" s="29">
        <f>$E$5+28</f>
        <v>46363</v>
      </c>
      <c r="D14" s="29">
        <f>C14+6</f>
        <v>46369</v>
      </c>
      <c r="E14" s="19">
        <f>SUMIFS('Échéances'!$F$8:$F$107,'Échéances'!$D$8:$D$107,"Loyers et charges encaissés",'Échéances'!$B$8:$B$107,"&gt;="&amp;$C14,'Échéances'!$B$8:$B$107,"&lt;="&amp;$D14)</f>
        <v>0</v>
      </c>
      <c r="F14" s="19">
        <f>SUMIFS('Échéances'!$F$8:$F$107,'Échéances'!$E$8:$E$107,"Encaissement",'Échéances'!$B$8:$B$107,"&gt;="&amp;$C14,'Échéances'!$B$8:$B$107,"&lt;="&amp;$D14)-E14</f>
        <v>0</v>
      </c>
      <c r="G14">
        <f>-SUMIFS('Échéances'!$F$8:$F$107,'Échéances'!$D$8:$D$107,"Échéance d'emprunt",'Échéances'!$B$8:$B$107,"&gt;="&amp;$C14,'Échéances'!$B$8:$B$107,"&lt;="&amp;$D14)</f>
        <v>-17830</v>
      </c>
      <c r="H14" s="19">
        <f>-SUMIFS('Échéances'!$F$8:$F$107,'Échéances'!$D$8:$D$107,"Taxe foncière",'Échéances'!$B$8:$B$107,"&gt;="&amp;$C14,'Échéances'!$B$8:$B$107,"&lt;="&amp;$D14)</f>
        <v>0</v>
      </c>
      <c r="I14" s="19">
        <f>-SUMIFS('Échéances'!$F$8:$F$107,'Échéances'!$D$8:$D$107,"Travaux et entretien",'Échéances'!$B$8:$B$107,"&gt;="&amp;$C14,'Échéances'!$B$8:$B$107,"&lt;="&amp;$D14)</f>
        <v>0</v>
      </c>
      <c r="J14" s="19">
        <f>-SUMIFS('Échéances'!$F$8:$F$107,'Échéances'!$E$8:$E$107,"Décaissement",'Échéances'!$B$8:$B$107,"&gt;="&amp;$C14,'Échéances'!$B$8:$B$107,"&lt;="&amp;$D14)-G14-H14-I14</f>
        <v>0</v>
      </c>
      <c r="K14" s="20">
        <f>SUM(E14:J14)</f>
        <v>-17830</v>
      </c>
      <c r="L14" s="20">
        <f>L13+K14</f>
        <v>54840</v>
      </c>
      <c r="M14" s="18" t="str">
        <f>IF(L14&lt;0,"Découvert",IF(L14&lt;$E$7,"Sous le seuil",""))</f>
        <v/>
      </c>
    </row>
    <row r="15">
      <c r="B15" s="18" t="inlineStr">
        <is>
          <t>S6</t>
        </is>
      </c>
      <c r="C15" s="29">
        <f>$E$5+35</f>
        <v>46370</v>
      </c>
      <c r="D15" s="29">
        <f>C15+6</f>
        <v>46376</v>
      </c>
      <c r="E15" s="19">
        <f>SUMIFS('Échéances'!$F$8:$F$107,'Échéances'!$D$8:$D$107,"Loyers et charges encaissés",'Échéances'!$B$8:$B$107,"&gt;="&amp;$C15,'Échéances'!$B$8:$B$107,"&lt;="&amp;$D15)</f>
        <v>0</v>
      </c>
      <c r="F15" s="19">
        <f>SUMIFS('Échéances'!$F$8:$F$107,'Échéances'!$E$8:$E$107,"Encaissement",'Échéances'!$B$8:$B$107,"&gt;="&amp;$C15,'Échéances'!$B$8:$B$107,"&lt;="&amp;$D15)-E15</f>
        <v>0</v>
      </c>
      <c r="G15">
        <f>-SUMIFS('Échéances'!$F$8:$F$107,'Échéances'!$D$8:$D$107,"Échéance d'emprunt",'Échéances'!$B$8:$B$107,"&gt;="&amp;$C15,'Échéances'!$B$8:$B$107,"&lt;="&amp;$D15)</f>
        <v>0</v>
      </c>
      <c r="H15" s="19">
        <f>-SUMIFS('Échéances'!$F$8:$F$107,'Échéances'!$D$8:$D$107,"Taxe foncière",'Échéances'!$B$8:$B$107,"&gt;="&amp;$C15,'Échéances'!$B$8:$B$107,"&lt;="&amp;$D15)</f>
        <v>0</v>
      </c>
      <c r="I15" s="19">
        <f>-SUMIFS('Échéances'!$F$8:$F$107,'Échéances'!$D$8:$D$107,"Travaux et entretien",'Échéances'!$B$8:$B$107,"&gt;="&amp;$C15,'Échéances'!$B$8:$B$107,"&lt;="&amp;$D15)</f>
        <v>-18000</v>
      </c>
      <c r="J15" s="19">
        <f>-SUMIFS('Échéances'!$F$8:$F$107,'Échéances'!$E$8:$E$107,"Décaissement",'Échéances'!$B$8:$B$107,"&gt;="&amp;$C15,'Échéances'!$B$8:$B$107,"&lt;="&amp;$D15)-G15-H15-I15</f>
        <v>-17500</v>
      </c>
      <c r="K15" s="20">
        <f>SUM(E15:J15)</f>
        <v>-35500</v>
      </c>
      <c r="L15" s="20">
        <f>L14+K15</f>
        <v>19340</v>
      </c>
      <c r="M15" s="18" t="str">
        <f>IF(L15&lt;0,"Découvert",IF(L15&lt;$E$7,"Sous le seuil",""))</f>
        <v>Sous le seuil</v>
      </c>
    </row>
    <row r="16">
      <c r="B16" s="18" t="inlineStr">
        <is>
          <t>S7</t>
        </is>
      </c>
      <c r="C16" s="29">
        <f>$E$5+42</f>
        <v>46377</v>
      </c>
      <c r="D16" s="29">
        <f>C16+6</f>
        <v>46383</v>
      </c>
      <c r="E16" s="19">
        <f>SUMIFS('Échéances'!$F$8:$F$107,'Échéances'!$D$8:$D$107,"Loyers et charges encaissés",'Échéances'!$B$8:$B$107,"&gt;="&amp;$C16,'Échéances'!$B$8:$B$107,"&lt;="&amp;$D16)</f>
        <v>0</v>
      </c>
      <c r="F16" s="19">
        <f>SUMIFS('Échéances'!$F$8:$F$107,'Échéances'!$E$8:$E$107,"Encaissement",'Échéances'!$B$8:$B$107,"&gt;="&amp;$C16,'Échéances'!$B$8:$B$107,"&lt;="&amp;$D16)-E16</f>
        <v>0</v>
      </c>
      <c r="G16">
        <f>-SUMIFS('Échéances'!$F$8:$F$107,'Échéances'!$D$8:$D$107,"Échéance d'emprunt",'Échéances'!$B$8:$B$107,"&gt;="&amp;$C16,'Échéances'!$B$8:$B$107,"&lt;="&amp;$D16)</f>
        <v>0</v>
      </c>
      <c r="H16" s="19">
        <f>-SUMIFS('Échéances'!$F$8:$F$107,'Échéances'!$D$8:$D$107,"Taxe foncière",'Échéances'!$B$8:$B$107,"&gt;="&amp;$C16,'Échéances'!$B$8:$B$107,"&lt;="&amp;$D16)</f>
        <v>0</v>
      </c>
      <c r="I16" s="19">
        <f>-SUMIFS('Échéances'!$F$8:$F$107,'Échéances'!$D$8:$D$107,"Travaux et entretien",'Échéances'!$B$8:$B$107,"&gt;="&amp;$C16,'Échéances'!$B$8:$B$107,"&lt;="&amp;$D16)</f>
        <v>0</v>
      </c>
      <c r="J16" s="19">
        <f>-SUMIFS('Échéances'!$F$8:$F$107,'Échéances'!$E$8:$E$107,"Décaissement",'Échéances'!$B$8:$B$107,"&gt;="&amp;$C16,'Échéances'!$B$8:$B$107,"&lt;="&amp;$D16)-G16-H16-I16</f>
        <v>0</v>
      </c>
      <c r="K16" s="20">
        <f>SUM(E16:J16)</f>
        <v>0</v>
      </c>
      <c r="L16" s="20">
        <f>L15+K16</f>
        <v>19340</v>
      </c>
      <c r="M16" s="18" t="str">
        <f>IF(L16&lt;0,"Découvert",IF(L16&lt;$E$7,"Sous le seuil",""))</f>
        <v>Sous le seuil</v>
      </c>
    </row>
    <row r="17">
      <c r="B17" s="18" t="inlineStr">
        <is>
          <t>S8</t>
        </is>
      </c>
      <c r="C17" s="29">
        <f>$E$5+49</f>
        <v>46384</v>
      </c>
      <c r="D17" s="29">
        <f>C17+6</f>
        <v>46390</v>
      </c>
      <c r="E17" s="19">
        <f>SUMIFS('Échéances'!$F$8:$F$107,'Échéances'!$D$8:$D$107,"Loyers et charges encaissés",'Échéances'!$B$8:$B$107,"&gt;="&amp;$C17,'Échéances'!$B$8:$B$107,"&lt;="&amp;$D17)</f>
        <v>0</v>
      </c>
      <c r="F17" s="19">
        <f>SUMIFS('Échéances'!$F$8:$F$107,'Échéances'!$E$8:$E$107,"Encaissement",'Échéances'!$B$8:$B$107,"&gt;="&amp;$C17,'Échéances'!$B$8:$B$107,"&lt;="&amp;$D17)-E17</f>
        <v>0</v>
      </c>
      <c r="G17">
        <f>-SUMIFS('Échéances'!$F$8:$F$107,'Échéances'!$D$8:$D$107,"Échéance d'emprunt",'Échéances'!$B$8:$B$107,"&gt;="&amp;$C17,'Échéances'!$B$8:$B$107,"&lt;="&amp;$D17)</f>
        <v>0</v>
      </c>
      <c r="H17" s="19">
        <f>-SUMIFS('Échéances'!$F$8:$F$107,'Échéances'!$D$8:$D$107,"Taxe foncière",'Échéances'!$B$8:$B$107,"&gt;="&amp;$C17,'Échéances'!$B$8:$B$107,"&lt;="&amp;$D17)</f>
        <v>0</v>
      </c>
      <c r="I17" s="19">
        <f>-SUMIFS('Échéances'!$F$8:$F$107,'Échéances'!$D$8:$D$107,"Travaux et entretien",'Échéances'!$B$8:$B$107,"&gt;="&amp;$C17,'Échéances'!$B$8:$B$107,"&lt;="&amp;$D17)</f>
        <v>0</v>
      </c>
      <c r="J17" s="19">
        <f>-SUMIFS('Échéances'!$F$8:$F$107,'Échéances'!$E$8:$E$107,"Décaissement",'Échéances'!$B$8:$B$107,"&gt;="&amp;$C17,'Échéances'!$B$8:$B$107,"&lt;="&amp;$D17)-G17-H17-I17</f>
        <v>0</v>
      </c>
      <c r="K17" s="20">
        <f>SUM(E17:J17)</f>
        <v>0</v>
      </c>
      <c r="L17" s="20">
        <f>L16+K17</f>
        <v>19340</v>
      </c>
      <c r="M17" s="18" t="str">
        <f>IF(L17&lt;0,"Découvert",IF(L17&lt;$E$7,"Sous le seuil",""))</f>
        <v>Sous le seuil</v>
      </c>
    </row>
    <row r="18">
      <c r="B18" s="18" t="inlineStr">
        <is>
          <t>S9</t>
        </is>
      </c>
      <c r="C18" s="29">
        <f>$E$5+56</f>
        <v>46391</v>
      </c>
      <c r="D18" s="29">
        <f>C18+6</f>
        <v>46397</v>
      </c>
      <c r="E18" s="19">
        <f>SUMIFS('Échéances'!$F$8:$F$107,'Échéances'!$D$8:$D$107,"Loyers et charges encaissés",'Échéances'!$B$8:$B$107,"&gt;="&amp;$C18,'Échéances'!$B$8:$B$107,"&lt;="&amp;$D18)</f>
        <v>77750</v>
      </c>
      <c r="F18" s="19">
        <f>SUMIFS('Échéances'!$F$8:$F$107,'Échéances'!$E$8:$E$107,"Encaissement",'Échéances'!$B$8:$B$107,"&gt;="&amp;$C18,'Échéances'!$B$8:$B$107,"&lt;="&amp;$D18)-E18</f>
        <v>0</v>
      </c>
      <c r="G18">
        <f>-SUMIFS('Échéances'!$F$8:$F$107,'Échéances'!$D$8:$D$107,"Échéance d'emprunt",'Échéances'!$B$8:$B$107,"&gt;="&amp;$C18,'Échéances'!$B$8:$B$107,"&lt;="&amp;$D18)</f>
        <v>-17830</v>
      </c>
      <c r="H18" s="19">
        <f>-SUMIFS('Échéances'!$F$8:$F$107,'Échéances'!$D$8:$D$107,"Taxe foncière",'Échéances'!$B$8:$B$107,"&gt;="&amp;$C18,'Échéances'!$B$8:$B$107,"&lt;="&amp;$D18)</f>
        <v>0</v>
      </c>
      <c r="I18" s="19">
        <f>-SUMIFS('Échéances'!$F$8:$F$107,'Échéances'!$D$8:$D$107,"Travaux et entretien",'Échéances'!$B$8:$B$107,"&gt;="&amp;$C18,'Échéances'!$B$8:$B$107,"&lt;="&amp;$D18)</f>
        <v>0</v>
      </c>
      <c r="J18" s="19">
        <f>-SUMIFS('Échéances'!$F$8:$F$107,'Échéances'!$E$8:$E$107,"Décaissement",'Échéances'!$B$8:$B$107,"&gt;="&amp;$C18,'Échéances'!$B$8:$B$107,"&lt;="&amp;$D18)-G18-H18-I18</f>
        <v>-10700</v>
      </c>
      <c r="K18" s="20">
        <f>SUM(E18:J18)</f>
        <v>49220</v>
      </c>
      <c r="L18" s="20">
        <f>L17+K18</f>
        <v>68560</v>
      </c>
      <c r="M18" s="18" t="str">
        <f>IF(L18&lt;0,"Découvert",IF(L18&lt;$E$7,"Sous le seuil",""))</f>
        <v/>
      </c>
    </row>
    <row r="19">
      <c r="B19" s="18" t="inlineStr">
        <is>
          <t>S10</t>
        </is>
      </c>
      <c r="C19" s="29">
        <f>$E$5+63</f>
        <v>46398</v>
      </c>
      <c r="D19" s="29">
        <f>C19+6</f>
        <v>46404</v>
      </c>
      <c r="E19" s="19">
        <f>SUMIFS('Échéances'!$F$8:$F$107,'Échéances'!$D$8:$D$107,"Loyers et charges encaissés",'Échéances'!$B$8:$B$107,"&gt;="&amp;$C19,'Échéances'!$B$8:$B$107,"&lt;="&amp;$D19)</f>
        <v>0</v>
      </c>
      <c r="F19" s="19">
        <f>SUMIFS('Échéances'!$F$8:$F$107,'Échéances'!$E$8:$E$107,"Encaissement",'Échéances'!$B$8:$B$107,"&gt;="&amp;$C19,'Échéances'!$B$8:$B$107,"&lt;="&amp;$D19)-E19</f>
        <v>0</v>
      </c>
      <c r="G19">
        <f>-SUMIFS('Échéances'!$F$8:$F$107,'Échéances'!$D$8:$D$107,"Échéance d'emprunt",'Échéances'!$B$8:$B$107,"&gt;="&amp;$C19,'Échéances'!$B$8:$B$107,"&lt;="&amp;$D19)</f>
        <v>0</v>
      </c>
      <c r="H19" s="19">
        <f>-SUMIFS('Échéances'!$F$8:$F$107,'Échéances'!$D$8:$D$107,"Taxe foncière",'Échéances'!$B$8:$B$107,"&gt;="&amp;$C19,'Échéances'!$B$8:$B$107,"&lt;="&amp;$D19)</f>
        <v>0</v>
      </c>
      <c r="I19" s="19">
        <f>-SUMIFS('Échéances'!$F$8:$F$107,'Échéances'!$D$8:$D$107,"Travaux et entretien",'Échéances'!$B$8:$B$107,"&gt;="&amp;$C19,'Échéances'!$B$8:$B$107,"&lt;="&amp;$D19)</f>
        <v>0</v>
      </c>
      <c r="J19" s="19">
        <f>-SUMIFS('Échéances'!$F$8:$F$107,'Échéances'!$E$8:$E$107,"Décaissement",'Échéances'!$B$8:$B$107,"&gt;="&amp;$C19,'Échéances'!$B$8:$B$107,"&lt;="&amp;$D19)-G19-H19-I19</f>
        <v>-17500</v>
      </c>
      <c r="K19" s="20">
        <f>SUM(E19:J19)</f>
        <v>-17500</v>
      </c>
      <c r="L19" s="20">
        <f>L18+K19</f>
        <v>51060</v>
      </c>
      <c r="M19" s="18" t="str">
        <f>IF(L19&lt;0,"Découvert",IF(L19&lt;$E$7,"Sous le seuil",""))</f>
        <v/>
      </c>
    </row>
    <row r="20">
      <c r="B20" s="18" t="inlineStr">
        <is>
          <t>S11</t>
        </is>
      </c>
      <c r="C20" s="29">
        <f>$E$5+70</f>
        <v>46405</v>
      </c>
      <c r="D20" s="29">
        <f>C20+6</f>
        <v>46411</v>
      </c>
      <c r="E20" s="19">
        <f>SUMIFS('Échéances'!$F$8:$F$107,'Échéances'!$D$8:$D$107,"Loyers et charges encaissés",'Échéances'!$B$8:$B$107,"&gt;="&amp;$C20,'Échéances'!$B$8:$B$107,"&lt;="&amp;$D20)</f>
        <v>0</v>
      </c>
      <c r="F20" s="19">
        <f>SUMIFS('Échéances'!$F$8:$F$107,'Échéances'!$E$8:$E$107,"Encaissement",'Échéances'!$B$8:$B$107,"&gt;="&amp;$C20,'Échéances'!$B$8:$B$107,"&lt;="&amp;$D20)-E20</f>
        <v>0</v>
      </c>
      <c r="G20">
        <f>-SUMIFS('Échéances'!$F$8:$F$107,'Échéances'!$D$8:$D$107,"Échéance d'emprunt",'Échéances'!$B$8:$B$107,"&gt;="&amp;$C20,'Échéances'!$B$8:$B$107,"&lt;="&amp;$D20)</f>
        <v>0</v>
      </c>
      <c r="H20" s="19">
        <f>-SUMIFS('Échéances'!$F$8:$F$107,'Échéances'!$D$8:$D$107,"Taxe foncière",'Échéances'!$B$8:$B$107,"&gt;="&amp;$C20,'Échéances'!$B$8:$B$107,"&lt;="&amp;$D20)</f>
        <v>0</v>
      </c>
      <c r="I20" s="19">
        <f>-SUMIFS('Échéances'!$F$8:$F$107,'Échéances'!$D$8:$D$107,"Travaux et entretien",'Échéances'!$B$8:$B$107,"&gt;="&amp;$C20,'Échéances'!$B$8:$B$107,"&lt;="&amp;$D20)</f>
        <v>0</v>
      </c>
      <c r="J20" s="19">
        <f>-SUMIFS('Échéances'!$F$8:$F$107,'Échéances'!$E$8:$E$107,"Décaissement",'Échéances'!$B$8:$B$107,"&gt;="&amp;$C20,'Échéances'!$B$8:$B$107,"&lt;="&amp;$D20)-G20-H20-I20</f>
        <v>0</v>
      </c>
      <c r="K20" s="20">
        <f>SUM(E20:J20)</f>
        <v>0</v>
      </c>
      <c r="L20" s="20">
        <f>L19+K20</f>
        <v>51060</v>
      </c>
      <c r="M20" s="18" t="str">
        <f>IF(L20&lt;0,"Découvert",IF(L20&lt;$E$7,"Sous le seuil",""))</f>
        <v/>
      </c>
    </row>
    <row r="21">
      <c r="B21" s="18" t="inlineStr">
        <is>
          <t>S12</t>
        </is>
      </c>
      <c r="C21" s="29">
        <f>$E$5+77</f>
        <v>46412</v>
      </c>
      <c r="D21" s="29">
        <f>C21+6</f>
        <v>46418</v>
      </c>
      <c r="E21" s="19">
        <f>SUMIFS('Échéances'!$F$8:$F$107,'Échéances'!$D$8:$D$107,"Loyers et charges encaissés",'Échéances'!$B$8:$B$107,"&gt;="&amp;$C21,'Échéances'!$B$8:$B$107,"&lt;="&amp;$D21)</f>
        <v>0</v>
      </c>
      <c r="F21" s="19">
        <f>SUMIFS('Échéances'!$F$8:$F$107,'Échéances'!$E$8:$E$107,"Encaissement",'Échéances'!$B$8:$B$107,"&gt;="&amp;$C21,'Échéances'!$B$8:$B$107,"&lt;="&amp;$D21)-E21</f>
        <v>3500</v>
      </c>
      <c r="G21">
        <f>-SUMIFS('Échéances'!$F$8:$F$107,'Échéances'!$D$8:$D$107,"Échéance d'emprunt",'Échéances'!$B$8:$B$107,"&gt;="&amp;$C21,'Échéances'!$B$8:$B$107,"&lt;="&amp;$D21)</f>
        <v>0</v>
      </c>
      <c r="H21" s="19">
        <f>-SUMIFS('Échéances'!$F$8:$F$107,'Échéances'!$D$8:$D$107,"Taxe foncière",'Échéances'!$B$8:$B$107,"&gt;="&amp;$C21,'Échéances'!$B$8:$B$107,"&lt;="&amp;$D21)</f>
        <v>0</v>
      </c>
      <c r="I21" s="19">
        <f>-SUMIFS('Échéances'!$F$8:$F$107,'Échéances'!$D$8:$D$107,"Travaux et entretien",'Échéances'!$B$8:$B$107,"&gt;="&amp;$C21,'Échéances'!$B$8:$B$107,"&lt;="&amp;$D21)</f>
        <v>0</v>
      </c>
      <c r="J21" s="19">
        <f>-SUMIFS('Échéances'!$F$8:$F$107,'Échéances'!$E$8:$E$107,"Décaissement",'Échéances'!$B$8:$B$107,"&gt;="&amp;$C21,'Échéances'!$B$8:$B$107,"&lt;="&amp;$D21)-G21-H21-I21</f>
        <v>0</v>
      </c>
      <c r="K21" s="20">
        <f>SUM(E21:J21)</f>
        <v>3500</v>
      </c>
      <c r="L21" s="20">
        <f>L20+K21</f>
        <v>54560</v>
      </c>
      <c r="M21" s="18" t="str">
        <f>IF(L21&lt;0,"Découvert",IF(L21&lt;$E$7,"Sous le seuil",""))</f>
        <v/>
      </c>
    </row>
    <row r="22">
      <c r="B22" s="18" t="inlineStr">
        <is>
          <t>S13</t>
        </is>
      </c>
      <c r="C22" s="29">
        <f>$E$5+84</f>
        <v>46419</v>
      </c>
      <c r="D22" s="29">
        <f>C22+6</f>
        <v>46425</v>
      </c>
      <c r="E22" s="19">
        <f>SUMIFS('Échéances'!$F$8:$F$107,'Échéances'!$D$8:$D$107,"Loyers et charges encaissés",'Échéances'!$B$8:$B$107,"&gt;="&amp;$C22,'Échéances'!$B$8:$B$107,"&lt;="&amp;$D22)</f>
        <v>44000</v>
      </c>
      <c r="F22" s="19">
        <f>SUMIFS('Échéances'!$F$8:$F$107,'Échéances'!$E$8:$E$107,"Encaissement",'Échéances'!$B$8:$B$107,"&gt;="&amp;$C22,'Échéances'!$B$8:$B$107,"&lt;="&amp;$D22)-E22</f>
        <v>0</v>
      </c>
      <c r="G22">
        <f>-SUMIFS('Échéances'!$F$8:$F$107,'Échéances'!$D$8:$D$107,"Échéance d'emprunt",'Échéances'!$B$8:$B$107,"&gt;="&amp;$C22,'Échéances'!$B$8:$B$107,"&lt;="&amp;$D22)</f>
        <v>0</v>
      </c>
      <c r="H22" s="19">
        <f>-SUMIFS('Échéances'!$F$8:$F$107,'Échéances'!$D$8:$D$107,"Taxe foncière",'Échéances'!$B$8:$B$107,"&gt;="&amp;$C22,'Échéances'!$B$8:$B$107,"&lt;="&amp;$D22)</f>
        <v>0</v>
      </c>
      <c r="I22" s="19">
        <f>-SUMIFS('Échéances'!$F$8:$F$107,'Échéances'!$D$8:$D$107,"Travaux et entretien",'Échéances'!$B$8:$B$107,"&gt;="&amp;$C22,'Échéances'!$B$8:$B$107,"&lt;="&amp;$D22)</f>
        <v>-9000</v>
      </c>
      <c r="J22" s="19">
        <f>-SUMIFS('Échéances'!$F$8:$F$107,'Échéances'!$E$8:$E$107,"Décaissement",'Échéances'!$B$8:$B$107,"&gt;="&amp;$C22,'Échéances'!$B$8:$B$107,"&lt;="&amp;$D22)-G22-H22-I22</f>
        <v>0</v>
      </c>
      <c r="K22" s="20">
        <f>SUM(E22:J22)</f>
        <v>35000</v>
      </c>
      <c r="L22" s="20">
        <f>L21+K22</f>
        <v>89560</v>
      </c>
      <c r="M22" s="18" t="str">
        <f>IF(L22&lt;0,"Découvert",IF(L22&lt;$E$7,"Sous le seuil",""))</f>
        <v/>
      </c>
    </row>
    <row r="23">
      <c r="B23" s="13" t="inlineStr">
        <is>
          <t>Total</t>
        </is>
      </c>
      <c r="C23" s="13" t="n"/>
      <c r="D23" s="13" t="n"/>
      <c r="E23" s="15">
        <f>SUM(E10:E22)</f>
        <v>209750</v>
      </c>
      <c r="F23" s="15">
        <f>SUM(F10:F22)</f>
        <v>3500</v>
      </c>
      <c r="G23" s="15">
        <f>SUM(G10:G22)</f>
        <v>-53490</v>
      </c>
      <c r="H23" s="15">
        <f>SUM(H10:H22)</f>
        <v>0</v>
      </c>
      <c r="I23" s="15">
        <f>SUM(I10:I22)</f>
        <v>-27000</v>
      </c>
      <c r="J23" s="15">
        <f>SUM(J10:J22)</f>
        <v>-63200</v>
      </c>
      <c r="K23" s="15">
        <f>SUM(K10:K22)</f>
        <v>69560</v>
      </c>
      <c r="L23" s="13" t="n"/>
      <c r="M23" s="13" t="n"/>
    </row>
    <row r="25">
      <c r="B25" s="24" t="inlineStr">
        <is>
          <t>À RETENIR</t>
        </is>
      </c>
    </row>
    <row r="26">
      <c r="B26" s="25" t="inlineStr">
        <is>
          <t>Point bas de trésorerie sur 13 semaines</t>
        </is>
      </c>
      <c r="G26" s="20">
        <f>MIN(L10:L22)</f>
        <v>19340</v>
      </c>
      <c r="H26" s="30" t="n"/>
    </row>
    <row r="27">
      <c r="B27" s="25" t="inlineStr">
        <is>
          <t>Semaine du point bas</t>
        </is>
      </c>
      <c r="G27" s="18" t="str">
        <f>INDEX(B10:B22,MATCH(MIN(L10:L22),L10:L22,0))&amp;" (du "&amp;TEXT(INDEX(C10:C22,MATCH(MIN(L10:L22),L10:L22,0)),"dd/mm/yyyy")&amp;")"</f>
        <v>S6 (du 14/12/2026)</v>
      </c>
      <c r="H27" s="30" t="n"/>
    </row>
    <row r="28">
      <c r="B28" s="25" t="inlineStr">
        <is>
          <t>Nombre de semaines sous le seuil d'alerte</t>
        </is>
      </c>
      <c r="G28" s="31">
        <f>COUNTIF(L10:L22,"&lt;"&amp;$E$7)</f>
        <v>3</v>
      </c>
      <c r="H28" s="30" t="n"/>
    </row>
    <row r="29">
      <c r="B29" s="25" t="inlineStr">
        <is>
          <t>Solde à la fin des 13 semaines</t>
        </is>
      </c>
      <c r="G29" s="20">
        <f>L22</f>
        <v>89560</v>
      </c>
      <c r="H29" s="30" t="n"/>
    </row>
    <row r="30">
      <c r="B30" s="25" t="inlineStr">
        <is>
          <t>Échéances datées hors des 13 semaines (non reprises)</t>
        </is>
      </c>
      <c r="G30" s="31">
        <f>COUNTIFS('Échéances'!$B$8:$B$107,"&lt;"&amp;$C$10)+COUNTIFS('Échéances'!$B$8:$B$107,"&gt;"&amp;$D$22)</f>
        <v>0</v>
      </c>
      <c r="H30" s="30" t="n"/>
    </row>
    <row r="32">
      <c r="B32" s="17" t="inlineStr">
        <is>
          <t>Lecture : si le point bas passe sous le seuil, vous avez trois mois pour décaler des travaux, relancer les impayés, avancer une régularisation de charges ou en parler à votre banque.</t>
        </is>
      </c>
    </row>
    <row r="34">
      <c r="B34" s="6" t="inlineStr">
        <is>
          <t>FG Conseils PME, www.fgconseilspme.fr</t>
        </is>
      </c>
    </row>
  </sheetData>
  <sheetProtection selectLockedCells="0" selectUnlockedCells="0" sheet="1" objects="0" insertRows="1" insertHyperlinks="1" autoFilter="1" scenarios="0" formatColumns="0" deleteColumns="1" insertColumns="1" pivotTables="1" deleteRows="1" formatCells="1" formatRows="0" sort="1"/>
  <mergeCells count="13">
    <mergeCell ref="G29:H29"/>
    <mergeCell ref="B30:F30"/>
    <mergeCell ref="B29:F29"/>
    <mergeCell ref="B5:D5"/>
    <mergeCell ref="G30:H30"/>
    <mergeCell ref="B28:F28"/>
    <mergeCell ref="G27:H27"/>
    <mergeCell ref="G28:H28"/>
    <mergeCell ref="B26:F26"/>
    <mergeCell ref="B7:D7"/>
    <mergeCell ref="B6:D6"/>
    <mergeCell ref="G26:H26"/>
    <mergeCell ref="B27:F27"/>
  </mergeCells>
  <conditionalFormatting sqref="L10:L22">
    <cfRule type="expression" priority="1" dxfId="1">
      <formula>L10&lt;$E$7</formula>
    </cfRule>
  </conditionalFormatting>
  <conditionalFormatting sqref="M10:M22">
    <cfRule type="expression" priority="2" dxfId="2">
      <formula>M10&lt;&gt;""</formula>
    </cfRule>
  </conditionalFormatting>
  <pageMargins left="0.75" right="0.75" top="1" bottom="1" header="0.5" footer="0.5"/>
  <pageSetup orientation="landscape" fitToHeight="0" fitToWidth="1"/>
  <headerFooter>
    <oddHeader/>
    <oddFooter>&amp;C&amp;"Arial"&amp;8 FG Conseils PME, www.fgconseilspme.fr</oddFooter>
    <evenHeader/>
    <evenFooter>&amp;CFG Conseils PME, www.fgconseilspme.fr</evenFooter>
    <firstHeader/>
    <firstFooter/>
  </headerFooter>
</worksheet>
</file>

<file path=xl/worksheets/sheet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Nature</t>
        </is>
      </c>
      <c r="B1" t="inlineStr">
        <is>
          <t>Sens</t>
        </is>
      </c>
    </row>
    <row r="2">
      <c r="A2" t="inlineStr">
        <is>
          <t>Loyers et charges encaissés</t>
        </is>
      </c>
      <c r="B2" t="inlineStr">
        <is>
          <t>Encaissement</t>
        </is>
      </c>
    </row>
    <row r="3">
      <c r="A3" t="inlineStr">
        <is>
          <t>Régularisation de charges</t>
        </is>
      </c>
      <c r="B3" t="inlineStr">
        <is>
          <t>Encaissement</t>
        </is>
      </c>
    </row>
    <row r="4">
      <c r="A4" t="inlineStr">
        <is>
          <t>Subvention</t>
        </is>
      </c>
      <c r="B4" t="inlineStr">
        <is>
          <t>Encaissement</t>
        </is>
      </c>
    </row>
    <row r="5">
      <c r="A5" t="inlineStr">
        <is>
          <t>Autre encaissement</t>
        </is>
      </c>
      <c r="B5" t="inlineStr">
        <is>
          <t>Encaissement</t>
        </is>
      </c>
    </row>
    <row r="6">
      <c r="A6" t="inlineStr">
        <is>
          <t>Échéance d'emprunt</t>
        </is>
      </c>
      <c r="B6" t="inlineStr">
        <is>
          <t>Décaissement</t>
        </is>
      </c>
    </row>
    <row r="7">
      <c r="A7" t="inlineStr">
        <is>
          <t>Taxe foncière</t>
        </is>
      </c>
      <c r="B7" t="inlineStr">
        <is>
          <t>Décaissement</t>
        </is>
      </c>
    </row>
    <row r="8">
      <c r="A8" t="inlineStr">
        <is>
          <t>Travaux et entretien</t>
        </is>
      </c>
      <c r="B8" t="inlineStr">
        <is>
          <t>Décaissement</t>
        </is>
      </c>
    </row>
    <row r="9">
      <c r="A9" t="inlineStr">
        <is>
          <t>Charges courantes</t>
        </is>
      </c>
      <c r="B9" t="inlineStr">
        <is>
          <t>Décaissement</t>
        </is>
      </c>
    </row>
    <row r="10">
      <c r="A10" t="inlineStr">
        <is>
          <t>Autre décaissement</t>
        </is>
      </c>
      <c r="B10" t="inlineStr">
        <is>
          <t>Décaissement</t>
        </is>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FG Conseils PME</dc:creator>
  <dc:title>Budget et trésorerie par immeuble</dc:title>
  <dcterms:created xsi:type="dcterms:W3CDTF">2026-11-04T22:42:43Z</dcterms:created>
  <dcterms:modified xsi:type="dcterms:W3CDTF">2026-11-04T22:42:43Z</dcterms:modified>
</cp:coreProperties>
</file>